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dministrator\Desktop\2020事业单位招聘方案\考试总成绩及入围体检公示\"/>
    </mc:Choice>
  </mc:AlternateContent>
  <bookViews>
    <workbookView xWindow="960" yWindow="660" windowWidth="18915" windowHeight="7950"/>
  </bookViews>
  <sheets>
    <sheet name="考试总成绩及入围体检人员" sheetId="1" r:id="rId1"/>
  </sheets>
  <definedNames>
    <definedName name="_xlnm.Print_Titles" localSheetId="0">考试总成绩及入围体检人员!$1:$2</definedName>
  </definedNames>
  <calcPr calcId="152511"/>
</workbook>
</file>

<file path=xl/calcChain.xml><?xml version="1.0" encoding="utf-8"?>
<calcChain xmlns="http://schemas.openxmlformats.org/spreadsheetml/2006/main">
  <c r="H4" i="1" l="1"/>
  <c r="J4" i="1"/>
  <c r="H6" i="1"/>
  <c r="J6" i="1" s="1"/>
  <c r="H5" i="1"/>
  <c r="J5" i="1" s="1"/>
  <c r="H7" i="1"/>
  <c r="J7" i="1" s="1"/>
  <c r="H8" i="1"/>
  <c r="J8" i="1"/>
  <c r="H10" i="1"/>
  <c r="J10" i="1" s="1"/>
  <c r="H9" i="1"/>
  <c r="J9" i="1"/>
  <c r="H11" i="1"/>
  <c r="J11" i="1" s="1"/>
  <c r="H14" i="1"/>
  <c r="J14" i="1"/>
  <c r="H12" i="1"/>
  <c r="J12" i="1" s="1"/>
  <c r="H13" i="1"/>
  <c r="J13" i="1" s="1"/>
  <c r="H15" i="1"/>
  <c r="J15" i="1" s="1"/>
  <c r="H22" i="1"/>
  <c r="J22" i="1"/>
  <c r="H16" i="1"/>
  <c r="J16" i="1" s="1"/>
  <c r="H19" i="1"/>
  <c r="J19" i="1"/>
  <c r="H18" i="1"/>
  <c r="J18" i="1" s="1"/>
  <c r="H20" i="1"/>
  <c r="J20" i="1"/>
  <c r="H21" i="1"/>
  <c r="J21" i="1" s="1"/>
  <c r="H17" i="1"/>
  <c r="J17" i="1" s="1"/>
  <c r="H23" i="1"/>
  <c r="J23" i="1" s="1"/>
  <c r="H24" i="1"/>
  <c r="J24" i="1"/>
  <c r="H25" i="1"/>
  <c r="J25" i="1" s="1"/>
  <c r="H26" i="1"/>
  <c r="J26" i="1"/>
  <c r="H28" i="1"/>
  <c r="J28" i="1" s="1"/>
  <c r="H27" i="1"/>
  <c r="J27" i="1"/>
  <c r="H29" i="1"/>
  <c r="J29" i="1" s="1"/>
  <c r="H30" i="1"/>
  <c r="J30" i="1" s="1"/>
  <c r="H31" i="1"/>
  <c r="J31" i="1" s="1"/>
  <c r="H32" i="1"/>
  <c r="J32" i="1"/>
  <c r="H33" i="1"/>
  <c r="J33" i="1" s="1"/>
  <c r="H34" i="1"/>
  <c r="J34" i="1"/>
  <c r="H36" i="1"/>
  <c r="J36" i="1" s="1"/>
  <c r="H35" i="1"/>
  <c r="J35" i="1"/>
  <c r="H38" i="1"/>
  <c r="J38" i="1" s="1"/>
  <c r="H40" i="1"/>
  <c r="J40" i="1" s="1"/>
  <c r="H39" i="1"/>
  <c r="J39" i="1" s="1"/>
  <c r="H37" i="1"/>
  <c r="J37" i="1"/>
  <c r="H41" i="1"/>
  <c r="J41" i="1" s="1"/>
  <c r="H43" i="1"/>
  <c r="J43" i="1"/>
  <c r="H42" i="1"/>
  <c r="J42" i="1" s="1"/>
  <c r="H44" i="1"/>
  <c r="J44" i="1"/>
  <c r="H45" i="1"/>
  <c r="J45" i="1" s="1"/>
  <c r="H46" i="1"/>
  <c r="J46" i="1" s="1"/>
  <c r="H47" i="1"/>
  <c r="J47" i="1" s="1"/>
  <c r="H48" i="1"/>
  <c r="J48" i="1"/>
  <c r="H49" i="1"/>
  <c r="J49" i="1" s="1"/>
  <c r="H50" i="1"/>
  <c r="J50" i="1"/>
  <c r="H51" i="1"/>
  <c r="J51" i="1" s="1"/>
  <c r="H52" i="1"/>
  <c r="J52" i="1"/>
  <c r="H54" i="1"/>
  <c r="J54" i="1" s="1"/>
  <c r="H55" i="1"/>
  <c r="J55" i="1" s="1"/>
  <c r="H53" i="1"/>
  <c r="J53" i="1" s="1"/>
  <c r="H56" i="1"/>
  <c r="J56" i="1"/>
  <c r="H58" i="1"/>
  <c r="J58" i="1" s="1"/>
  <c r="H57" i="1"/>
  <c r="J57" i="1"/>
  <c r="H59" i="1"/>
  <c r="J59" i="1" s="1"/>
  <c r="H60" i="1"/>
  <c r="J60" i="1"/>
  <c r="H61" i="1"/>
  <c r="J61" i="1" s="1"/>
  <c r="H62" i="1"/>
  <c r="J62" i="1" s="1"/>
  <c r="H64" i="1"/>
  <c r="J64" i="1" s="1"/>
  <c r="H63" i="1"/>
  <c r="J63" i="1"/>
  <c r="H65" i="1"/>
  <c r="J65" i="1" s="1"/>
  <c r="H66" i="1"/>
  <c r="J66" i="1"/>
  <c r="H68" i="1"/>
  <c r="J68" i="1" s="1"/>
  <c r="H67" i="1"/>
  <c r="J67" i="1"/>
  <c r="H70" i="1"/>
  <c r="J70" i="1" s="1"/>
  <c r="H69" i="1"/>
  <c r="J69" i="1" s="1"/>
  <c r="H71" i="1"/>
  <c r="J71" i="1" s="1"/>
  <c r="H72" i="1"/>
  <c r="J72" i="1"/>
  <c r="H73" i="1"/>
  <c r="J73" i="1" s="1"/>
  <c r="H74" i="1"/>
  <c r="J74" i="1"/>
  <c r="H75" i="1"/>
  <c r="J75" i="1" s="1"/>
  <c r="H77" i="1"/>
  <c r="J77" i="1"/>
  <c r="H76" i="1"/>
  <c r="J76" i="1" s="1"/>
  <c r="H78" i="1"/>
  <c r="J78" i="1" s="1"/>
  <c r="H79" i="1"/>
  <c r="J79" i="1" s="1"/>
  <c r="H80" i="1"/>
  <c r="J80" i="1"/>
  <c r="H81" i="1"/>
  <c r="J81" i="1" s="1"/>
  <c r="H82" i="1"/>
  <c r="J82" i="1"/>
  <c r="H83" i="1"/>
  <c r="J83" i="1" s="1"/>
  <c r="H84" i="1"/>
  <c r="J84" i="1"/>
  <c r="H85" i="1"/>
  <c r="J85" i="1" s="1"/>
  <c r="H86" i="1"/>
  <c r="J86" i="1" s="1"/>
  <c r="H87" i="1"/>
  <c r="J87" i="1" s="1"/>
  <c r="H88" i="1"/>
  <c r="J88" i="1"/>
  <c r="H89" i="1"/>
  <c r="J89" i="1" s="1"/>
  <c r="H90" i="1"/>
  <c r="J90" i="1"/>
  <c r="H94" i="1"/>
  <c r="J94" i="1" s="1"/>
  <c r="H91" i="1"/>
  <c r="J91" i="1"/>
  <c r="H101" i="1"/>
  <c r="J101" i="1" s="1"/>
  <c r="H92" i="1"/>
  <c r="J92" i="1" s="1"/>
  <c r="H93" i="1"/>
  <c r="J93" i="1" s="1"/>
  <c r="H95" i="1"/>
  <c r="J95" i="1"/>
  <c r="H98" i="1"/>
  <c r="J98" i="1" s="1"/>
  <c r="H97" i="1"/>
  <c r="J97" i="1"/>
  <c r="H96" i="1"/>
  <c r="J96" i="1" s="1"/>
  <c r="H99" i="1"/>
  <c r="J99" i="1"/>
  <c r="H102" i="1"/>
  <c r="J102" i="1" s="1"/>
  <c r="H100" i="1"/>
  <c r="J100" i="1" s="1"/>
  <c r="H103" i="1"/>
  <c r="J103" i="1" s="1"/>
  <c r="H105" i="1"/>
  <c r="J105" i="1"/>
  <c r="H104" i="1"/>
  <c r="J104" i="1" s="1"/>
  <c r="H106" i="1"/>
  <c r="J106" i="1"/>
  <c r="H107" i="1"/>
  <c r="J107" i="1" s="1"/>
  <c r="H108" i="1"/>
  <c r="J108" i="1"/>
  <c r="H109" i="1"/>
  <c r="J109" i="1" s="1"/>
  <c r="H110" i="1"/>
  <c r="J110" i="1" s="1"/>
  <c r="H111" i="1"/>
  <c r="J111" i="1" s="1"/>
  <c r="H112" i="1"/>
  <c r="J112" i="1"/>
  <c r="H114" i="1"/>
  <c r="J114" i="1" s="1"/>
  <c r="H113" i="1"/>
  <c r="J113" i="1"/>
  <c r="H115" i="1"/>
  <c r="J115" i="1" s="1"/>
  <c r="H117" i="1"/>
  <c r="J117" i="1"/>
  <c r="H116" i="1"/>
  <c r="J116" i="1" s="1"/>
  <c r="H118" i="1"/>
  <c r="J118" i="1" s="1"/>
  <c r="H119" i="1"/>
  <c r="J119" i="1" s="1"/>
  <c r="H121" i="1"/>
  <c r="J121" i="1"/>
  <c r="H120" i="1"/>
  <c r="J120" i="1" s="1"/>
  <c r="H122" i="1"/>
  <c r="J122" i="1"/>
  <c r="H123" i="1"/>
  <c r="J123" i="1" s="1"/>
  <c r="H124" i="1"/>
  <c r="J124" i="1"/>
  <c r="H125" i="1"/>
  <c r="J125" i="1" s="1"/>
  <c r="H126" i="1"/>
  <c r="J126" i="1" s="1"/>
  <c r="H127" i="1"/>
  <c r="J127" i="1" s="1"/>
  <c r="H128" i="1"/>
  <c r="J128" i="1"/>
  <c r="H129" i="1"/>
  <c r="J129" i="1" s="1"/>
  <c r="H130" i="1"/>
  <c r="J130" i="1"/>
  <c r="H131" i="1"/>
  <c r="J131" i="1" s="1"/>
  <c r="H132" i="1"/>
  <c r="J132" i="1"/>
  <c r="H133" i="1"/>
  <c r="J133" i="1" s="1"/>
  <c r="H134" i="1"/>
  <c r="J134" i="1" s="1"/>
  <c r="H135" i="1"/>
  <c r="J135" i="1" s="1"/>
  <c r="H136" i="1"/>
  <c r="J136" i="1"/>
  <c r="H138" i="1"/>
  <c r="J138" i="1" s="1"/>
  <c r="H137" i="1"/>
  <c r="J137" i="1"/>
  <c r="H139" i="1"/>
  <c r="J139" i="1" s="1"/>
  <c r="H140" i="1"/>
  <c r="J140" i="1"/>
  <c r="H141" i="1"/>
  <c r="J141" i="1" s="1"/>
  <c r="H142" i="1"/>
  <c r="J142" i="1" s="1"/>
  <c r="H145" i="1"/>
  <c r="J145" i="1" s="1"/>
  <c r="H146" i="1"/>
  <c r="J146" i="1"/>
  <c r="H144" i="1"/>
  <c r="J144" i="1" s="1"/>
  <c r="H143" i="1"/>
  <c r="J143" i="1"/>
  <c r="H148" i="1"/>
  <c r="J148" i="1" s="1"/>
  <c r="H147" i="1"/>
  <c r="J147" i="1"/>
  <c r="H149" i="1"/>
  <c r="J149" i="1" s="1"/>
  <c r="H153" i="1"/>
  <c r="J153" i="1" s="1"/>
  <c r="H150" i="1"/>
  <c r="J150" i="1" s="1"/>
  <c r="H151" i="1"/>
  <c r="J151" i="1"/>
  <c r="H152" i="1"/>
  <c r="J152" i="1" s="1"/>
  <c r="H154" i="1"/>
  <c r="J154" i="1"/>
  <c r="H156" i="1"/>
  <c r="J156" i="1" s="1"/>
  <c r="H160" i="1"/>
  <c r="J160" i="1"/>
  <c r="H155" i="1"/>
  <c r="J155" i="1" s="1"/>
  <c r="H159" i="1"/>
  <c r="J159" i="1" s="1"/>
  <c r="H157" i="1"/>
  <c r="J157" i="1" s="1"/>
  <c r="H158" i="1"/>
  <c r="J158" i="1"/>
  <c r="H176" i="1"/>
  <c r="J176" i="1" s="1"/>
  <c r="H162" i="1"/>
  <c r="J162" i="1"/>
  <c r="H163" i="1"/>
  <c r="J163" i="1" s="1"/>
  <c r="H168" i="1"/>
  <c r="J168" i="1"/>
  <c r="H164" i="1"/>
  <c r="J164" i="1" s="1"/>
  <c r="H165" i="1"/>
  <c r="J165" i="1" s="1"/>
  <c r="H161" i="1"/>
  <c r="J161" i="1" s="1"/>
  <c r="H166" i="1"/>
  <c r="J166" i="1"/>
  <c r="H177" i="1"/>
  <c r="J177" i="1" s="1"/>
  <c r="H171" i="1"/>
  <c r="J171" i="1"/>
  <c r="H169" i="1"/>
  <c r="J169" i="1" s="1"/>
  <c r="H167" i="1"/>
  <c r="J167" i="1"/>
  <c r="H170" i="1"/>
  <c r="J170" i="1" s="1"/>
  <c r="H173" i="1"/>
  <c r="J173" i="1" s="1"/>
  <c r="H172" i="1"/>
  <c r="J172" i="1"/>
  <c r="H174" i="1"/>
  <c r="J174" i="1" s="1"/>
  <c r="H175" i="1"/>
  <c r="J175" i="1"/>
  <c r="H3" i="1"/>
  <c r="J3" i="1" s="1"/>
  <c r="C51" i="1"/>
  <c r="C27" i="1"/>
  <c r="C111" i="1"/>
  <c r="D111" i="1"/>
  <c r="E111" i="1"/>
  <c r="E115" i="1"/>
  <c r="C87" i="1"/>
  <c r="D87" i="1"/>
  <c r="E87" i="1"/>
  <c r="E7" i="1"/>
  <c r="C134" i="1"/>
  <c r="D134" i="1"/>
  <c r="E134" i="1"/>
  <c r="E151" i="1"/>
  <c r="C163" i="1"/>
  <c r="D163" i="1"/>
  <c r="E163" i="1"/>
  <c r="C162" i="1"/>
  <c r="D162" i="1"/>
  <c r="E162" i="1"/>
  <c r="C31" i="1"/>
  <c r="D31" i="1"/>
  <c r="E31" i="1"/>
  <c r="C5" i="1"/>
  <c r="D5" i="1"/>
  <c r="E5" i="1"/>
  <c r="E127" i="1"/>
  <c r="C140" i="1"/>
  <c r="D140" i="1"/>
  <c r="E140" i="1"/>
  <c r="E104" i="1"/>
  <c r="C142" i="1"/>
  <c r="D142" i="1"/>
  <c r="E142" i="1"/>
  <c r="C156" i="1"/>
  <c r="D156" i="1"/>
  <c r="E156" i="1"/>
  <c r="C124" i="1"/>
  <c r="D124" i="1"/>
  <c r="E124" i="1"/>
  <c r="C84" i="1"/>
  <c r="D84" i="1"/>
  <c r="E84" i="1"/>
  <c r="E36" i="1"/>
  <c r="C146" i="1"/>
  <c r="D146" i="1"/>
  <c r="E146" i="1"/>
  <c r="E101" i="1"/>
  <c r="E15" i="1"/>
  <c r="E165" i="1"/>
  <c r="C93" i="1"/>
  <c r="D93" i="1"/>
  <c r="E93" i="1"/>
  <c r="C25" i="1"/>
  <c r="D25" i="1"/>
  <c r="E25" i="1"/>
  <c r="C94" i="1"/>
  <c r="D94" i="1"/>
  <c r="E94" i="1"/>
  <c r="C10" i="1"/>
  <c r="D10" i="1"/>
  <c r="E10" i="1"/>
  <c r="C141" i="1"/>
  <c r="D141" i="1"/>
  <c r="E141" i="1"/>
  <c r="E16" i="1"/>
  <c r="E117" i="1"/>
  <c r="E102" i="1"/>
  <c r="C54" i="1"/>
  <c r="D54" i="1"/>
  <c r="E54" i="1"/>
  <c r="C92" i="1"/>
  <c r="D92" i="1"/>
  <c r="E92" i="1"/>
  <c r="C133" i="1"/>
  <c r="D133" i="1"/>
  <c r="E133" i="1"/>
  <c r="C116" i="1"/>
  <c r="D116" i="1"/>
  <c r="E116" i="1"/>
  <c r="C106" i="1"/>
  <c r="D106" i="1"/>
  <c r="E106" i="1"/>
  <c r="C66" i="1"/>
  <c r="D66" i="1"/>
  <c r="E66" i="1"/>
  <c r="E83" i="1"/>
  <c r="C159" i="1"/>
  <c r="D159" i="1"/>
  <c r="E159" i="1"/>
  <c r="E17" i="1"/>
  <c r="C30" i="1"/>
  <c r="D30" i="1"/>
  <c r="E30" i="1"/>
  <c r="E149" i="1"/>
  <c r="E110" i="1"/>
  <c r="C37" i="1"/>
  <c r="D37" i="1"/>
  <c r="E37" i="1"/>
  <c r="C76" i="1"/>
  <c r="D76" i="1"/>
  <c r="E76" i="1"/>
  <c r="E173" i="1"/>
  <c r="E82" i="1"/>
  <c r="E64" i="1"/>
  <c r="E63" i="1"/>
  <c r="C136" i="1"/>
  <c r="D136" i="1"/>
  <c r="E136" i="1"/>
  <c r="E150" i="1"/>
  <c r="E96" i="1"/>
  <c r="E174" i="1"/>
  <c r="E70" i="1"/>
  <c r="C9" i="1"/>
  <c r="D9" i="1"/>
  <c r="E9" i="1"/>
  <c r="E78" i="1"/>
  <c r="E176" i="1"/>
  <c r="C128" i="1"/>
  <c r="D128" i="1"/>
  <c r="E128" i="1"/>
  <c r="E120" i="1"/>
  <c r="C74" i="1"/>
  <c r="D74" i="1"/>
  <c r="E74" i="1"/>
  <c r="C123" i="1"/>
  <c r="D123" i="1"/>
  <c r="E123" i="1"/>
  <c r="C157" i="1"/>
  <c r="D157" i="1"/>
  <c r="E157" i="1"/>
  <c r="C122" i="1"/>
  <c r="D122" i="1"/>
  <c r="E122" i="1"/>
  <c r="C135" i="1"/>
  <c r="D135" i="1"/>
  <c r="E135" i="1"/>
  <c r="C23" i="1"/>
  <c r="D23" i="1"/>
  <c r="E23" i="1"/>
  <c r="E98" i="1"/>
  <c r="C160" i="1"/>
  <c r="D160" i="1"/>
  <c r="E160" i="1"/>
  <c r="C91" i="1"/>
  <c r="D91" i="1"/>
  <c r="E91" i="1"/>
  <c r="C107" i="1"/>
  <c r="D107" i="1"/>
  <c r="E107" i="1"/>
  <c r="C11" i="1"/>
  <c r="D11" i="1"/>
  <c r="E11" i="1"/>
  <c r="E118" i="1"/>
  <c r="C164" i="1"/>
  <c r="D164" i="1"/>
  <c r="E164" i="1"/>
  <c r="C90" i="1"/>
  <c r="D90" i="1"/>
  <c r="E90" i="1"/>
  <c r="E99" i="1"/>
  <c r="C3" i="1"/>
  <c r="D3" i="1"/>
  <c r="E3" i="1"/>
  <c r="E6" i="1"/>
  <c r="E177" i="1"/>
  <c r="C145" i="1"/>
  <c r="D145" i="1"/>
  <c r="E145" i="1"/>
  <c r="C129" i="1"/>
  <c r="D129" i="1"/>
  <c r="E129" i="1"/>
  <c r="E56" i="1"/>
  <c r="C143" i="1"/>
  <c r="D143" i="1"/>
  <c r="E143" i="1"/>
  <c r="E114" i="1"/>
  <c r="E152" i="1"/>
  <c r="E154" i="1"/>
  <c r="E132" i="1"/>
  <c r="C79" i="1"/>
  <c r="D79" i="1"/>
  <c r="E79" i="1"/>
  <c r="E105" i="1"/>
  <c r="E42" i="1"/>
  <c r="E153" i="1"/>
  <c r="E77" i="1"/>
  <c r="E169" i="1"/>
  <c r="E69" i="1"/>
  <c r="E47" i="1"/>
  <c r="E41" i="1"/>
  <c r="C108" i="1"/>
  <c r="D108" i="1"/>
  <c r="E108" i="1"/>
  <c r="E57" i="1"/>
  <c r="E52" i="1"/>
  <c r="E21" i="1"/>
  <c r="E28" i="1"/>
  <c r="D51" i="1"/>
  <c r="E51" i="1"/>
  <c r="C53" i="1"/>
  <c r="D53" i="1"/>
  <c r="E53" i="1"/>
  <c r="E73" i="1"/>
  <c r="C126" i="1"/>
  <c r="D126" i="1"/>
  <c r="E126" i="1"/>
  <c r="C144" i="1"/>
  <c r="D144" i="1"/>
  <c r="E144" i="1"/>
  <c r="E175" i="1"/>
  <c r="C158" i="1"/>
  <c r="D158" i="1"/>
  <c r="E158" i="1"/>
  <c r="E50" i="1"/>
  <c r="C12" i="1"/>
  <c r="D12" i="1"/>
  <c r="E12" i="1"/>
  <c r="E20" i="1"/>
  <c r="C85" i="1"/>
  <c r="D85" i="1"/>
  <c r="E85" i="1"/>
  <c r="C32" i="1"/>
  <c r="D32" i="1"/>
  <c r="E32" i="1"/>
  <c r="C161" i="1"/>
  <c r="D161" i="1"/>
  <c r="E161" i="1"/>
  <c r="C119" i="1"/>
  <c r="D119" i="1"/>
  <c r="E119" i="1"/>
  <c r="E97" i="1"/>
  <c r="E170" i="1"/>
  <c r="E72" i="1"/>
  <c r="E33" i="1"/>
  <c r="E26" i="1"/>
  <c r="C65" i="1"/>
  <c r="D65" i="1"/>
  <c r="E65" i="1"/>
  <c r="E86" i="1"/>
  <c r="E58" i="1"/>
  <c r="C138" i="1"/>
  <c r="D138" i="1"/>
  <c r="E138" i="1"/>
  <c r="E168" i="1"/>
  <c r="E35" i="1"/>
  <c r="C49" i="1"/>
  <c r="D49" i="1"/>
  <c r="E49" i="1"/>
  <c r="E121" i="1"/>
  <c r="E8" i="1"/>
  <c r="E172" i="1"/>
  <c r="E68" i="1"/>
  <c r="E48" i="1"/>
  <c r="C13" i="1"/>
  <c r="D13" i="1"/>
  <c r="E13" i="1"/>
  <c r="E75" i="1"/>
  <c r="E22" i="1"/>
  <c r="E167" i="1"/>
  <c r="E148" i="1"/>
  <c r="E88" i="1"/>
  <c r="E100" i="1"/>
  <c r="E19" i="1"/>
  <c r="E130" i="1"/>
  <c r="E112" i="1"/>
  <c r="E166" i="1"/>
  <c r="C44" i="1"/>
  <c r="D44" i="1"/>
  <c r="E44" i="1"/>
  <c r="C38" i="1"/>
  <c r="D38" i="1"/>
  <c r="E38" i="1"/>
  <c r="C4" i="1"/>
  <c r="D4" i="1"/>
  <c r="E4" i="1"/>
  <c r="E29" i="1"/>
  <c r="C55" i="1"/>
  <c r="D55" i="1"/>
  <c r="E55" i="1"/>
  <c r="C147" i="1"/>
  <c r="D147" i="1"/>
  <c r="E147" i="1"/>
  <c r="E60" i="1"/>
  <c r="C71" i="1"/>
  <c r="D71" i="1"/>
  <c r="E71" i="1"/>
  <c r="E39" i="1"/>
  <c r="C109" i="1"/>
  <c r="D109" i="1"/>
  <c r="E109" i="1"/>
  <c r="C155" i="1"/>
  <c r="D155" i="1"/>
  <c r="E155" i="1"/>
  <c r="E139" i="1"/>
  <c r="E171" i="1"/>
  <c r="E67" i="1"/>
  <c r="E18" i="1"/>
  <c r="D27" i="1"/>
  <c r="E27" i="1"/>
  <c r="E45" i="1"/>
  <c r="E43" i="1"/>
  <c r="C89" i="1"/>
  <c r="D89" i="1"/>
  <c r="E89" i="1"/>
  <c r="E61" i="1"/>
  <c r="E103" i="1"/>
  <c r="C46" i="1"/>
  <c r="D46" i="1"/>
  <c r="E46" i="1"/>
  <c r="E40" i="1"/>
  <c r="C24" i="1"/>
  <c r="D24" i="1"/>
  <c r="E24" i="1"/>
  <c r="E14" i="1"/>
  <c r="C34" i="1"/>
  <c r="D34" i="1"/>
  <c r="E34" i="1"/>
  <c r="E95" i="1"/>
  <c r="C131" i="1"/>
  <c r="D131" i="1"/>
  <c r="E131" i="1"/>
  <c r="E125" i="1"/>
  <c r="E80" i="1"/>
  <c r="C59" i="1"/>
  <c r="D59" i="1"/>
  <c r="E59" i="1"/>
  <c r="C137" i="1"/>
  <c r="D137" i="1"/>
  <c r="E137" i="1"/>
  <c r="C81" i="1"/>
  <c r="D81" i="1"/>
  <c r="E81" i="1"/>
  <c r="C62" i="1"/>
  <c r="D62" i="1"/>
  <c r="E62" i="1"/>
  <c r="C113" i="1"/>
  <c r="D113" i="1"/>
  <c r="E113" i="1"/>
</calcChain>
</file>

<file path=xl/sharedStrings.xml><?xml version="1.0" encoding="utf-8"?>
<sst xmlns="http://schemas.openxmlformats.org/spreadsheetml/2006/main" count="195" uniqueCount="59">
  <si>
    <t>报考岗位</t>
  </si>
  <si>
    <t>姓名</t>
  </si>
  <si>
    <t>性别</t>
  </si>
  <si>
    <t>准考证号</t>
  </si>
  <si>
    <t>9905003_专业技术</t>
  </si>
  <si>
    <t>9905041_管理</t>
  </si>
  <si>
    <t>9905053_管理</t>
  </si>
  <si>
    <t>9905026_管理</t>
  </si>
  <si>
    <t>9905042_管理</t>
  </si>
  <si>
    <t>9905007_专业技术</t>
  </si>
  <si>
    <t>9905018_专业技术</t>
  </si>
  <si>
    <t>9905038_专业技术</t>
  </si>
  <si>
    <t>9905002_专业技术</t>
  </si>
  <si>
    <t>9905054_管理</t>
  </si>
  <si>
    <t>9905056_专业技术</t>
  </si>
  <si>
    <t>9905039_专业技术</t>
  </si>
  <si>
    <t>9905009_专业技术</t>
  </si>
  <si>
    <t>9905047_专业技术</t>
  </si>
  <si>
    <t>9905058_专业技术</t>
  </si>
  <si>
    <t>9905045_专业技术</t>
  </si>
  <si>
    <t>9905035_专业技术</t>
  </si>
  <si>
    <t>9905030_专业技术</t>
  </si>
  <si>
    <t>9905015_专业技术</t>
  </si>
  <si>
    <t>9905006_专业技术</t>
  </si>
  <si>
    <t>9905043_专业技术</t>
  </si>
  <si>
    <t>9905022_专业技术</t>
  </si>
  <si>
    <t>9905040_专业技术</t>
  </si>
  <si>
    <t>9905034_专业技术</t>
  </si>
  <si>
    <t>9905016_专业技术</t>
  </si>
  <si>
    <t>9905025_管理</t>
  </si>
  <si>
    <t>9905031_管理</t>
  </si>
  <si>
    <t>9905049_专业技术</t>
  </si>
  <si>
    <t>9905044_管理</t>
  </si>
  <si>
    <t>9905029_专业技术</t>
  </si>
  <si>
    <t>9905004_管理</t>
  </si>
  <si>
    <t>9905055_管理</t>
  </si>
  <si>
    <t>9905050_专业技术</t>
  </si>
  <si>
    <t>9905051_管理</t>
  </si>
  <si>
    <t>9905023_专业技术</t>
  </si>
  <si>
    <t>9905020_管理</t>
  </si>
  <si>
    <t>9905024_专业技术</t>
  </si>
  <si>
    <t>9905027_专业技术</t>
  </si>
  <si>
    <t>9905037_专业技术</t>
  </si>
  <si>
    <t>9905019_管理</t>
  </si>
  <si>
    <t>9905012_专业技术</t>
  </si>
  <si>
    <t>9905017_专业技术</t>
  </si>
  <si>
    <t>9905005_专业技术</t>
  </si>
  <si>
    <t>9905001_专业技术</t>
    <phoneticPr fontId="1" type="noConversion"/>
  </si>
  <si>
    <t>序号</t>
    <phoneticPr fontId="1" type="noConversion"/>
  </si>
  <si>
    <r>
      <rPr>
        <b/>
        <sz val="12"/>
        <rFont val="宋体"/>
        <charset val="134"/>
      </rPr>
      <t>综合知识成绩</t>
    </r>
    <phoneticPr fontId="1" type="noConversion"/>
  </si>
  <si>
    <r>
      <rPr>
        <b/>
        <sz val="12"/>
        <rFont val="宋体"/>
        <charset val="134"/>
      </rPr>
      <t>申论成绩</t>
    </r>
    <phoneticPr fontId="1" type="noConversion"/>
  </si>
  <si>
    <t>笔试成绩</t>
    <phoneticPr fontId="1" type="noConversion"/>
  </si>
  <si>
    <t>9905006_专业技术</t>
    <phoneticPr fontId="1" type="noConversion"/>
  </si>
  <si>
    <t>面试成绩</t>
    <phoneticPr fontId="1" type="noConversion"/>
  </si>
  <si>
    <t>考试总成绩</t>
    <phoneticPr fontId="1" type="noConversion"/>
  </si>
  <si>
    <t>备注</t>
    <phoneticPr fontId="1" type="noConversion"/>
  </si>
  <si>
    <t>9905034_专业技术</t>
    <phoneticPr fontId="1" type="noConversion"/>
  </si>
  <si>
    <t>附件：2020年凤阳县部分事业单位公开招聘工作人员考试总成绩及入围参加体检人员名单</t>
    <phoneticPr fontId="1" type="noConversion"/>
  </si>
  <si>
    <t>面试缺考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</si>
</sst>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9" x14ac:knownFonts="1">
    <font>
      <sz val="12"/>
      <name val="宋体"/>
      <charset val="134"/>
    </font>
    <font>
      <sz val="9"/>
      <name val="宋体"/>
      <charset val="134"/>
    </font>
    <font>
      <b/>
      <sz val="12"/>
      <name val="Times New Roman"/>
      <family val="1"/>
    </font>
    <font>
      <b/>
      <sz val="12"/>
      <name val="宋体"/>
      <charset val="134"/>
    </font>
    <font>
      <sz val="12"/>
      <name val="Times New Roman"/>
      <family val="1"/>
    </font>
    <font>
      <sz val="12"/>
      <name val="宋体"/>
      <charset val="134"/>
    </font>
    <font>
      <sz val="12"/>
      <name val="宋体"/>
      <family val="3"/>
      <charset val="134"/>
    </font>
    <font>
      <b/>
      <sz val="16"/>
      <name val="宋体"/>
      <family val="3"/>
      <charset val="134"/>
    </font>
    <font>
      <sz val="16"/>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2" fillId="0" borderId="1"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0" xfId="0" applyFont="1" applyAlignment="1">
      <alignment vertical="center" shrinkToFit="1"/>
    </xf>
    <xf numFmtId="0" fontId="2" fillId="0" borderId="1" xfId="0" applyFont="1" applyFill="1" applyBorder="1" applyAlignment="1">
      <alignment horizontal="center" vertical="center" shrinkToFit="1"/>
    </xf>
    <xf numFmtId="0" fontId="4"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0" xfId="0" applyFont="1">
      <alignment vertical="center"/>
    </xf>
    <xf numFmtId="0" fontId="3" fillId="0" borderId="1" xfId="0" applyFont="1" applyFill="1" applyBorder="1" applyAlignment="1">
      <alignment horizontal="center" vertical="center" shrinkToFit="1"/>
    </xf>
    <xf numFmtId="0" fontId="4"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0" xfId="0" applyFont="1">
      <alignment vertical="center"/>
    </xf>
    <xf numFmtId="0" fontId="5" fillId="0" borderId="1" xfId="0" applyFont="1" applyBorder="1" applyAlignment="1">
      <alignment horizontal="center" vertical="center" shrinkToFit="1"/>
    </xf>
    <xf numFmtId="0" fontId="5" fillId="0" borderId="1" xfId="0" applyFont="1" applyBorder="1">
      <alignment vertical="center"/>
    </xf>
    <xf numFmtId="0" fontId="3" fillId="0" borderId="1" xfId="0" applyFont="1" applyBorder="1">
      <alignment vertical="center"/>
    </xf>
    <xf numFmtId="176" fontId="3" fillId="0" borderId="1" xfId="0" applyNumberFormat="1" applyFont="1" applyFill="1" applyBorder="1" applyAlignment="1">
      <alignment horizontal="center" vertical="center" shrinkToFit="1"/>
    </xf>
    <xf numFmtId="176" fontId="2" fillId="0" borderId="1" xfId="0" applyNumberFormat="1" applyFont="1" applyBorder="1" applyAlignment="1">
      <alignment horizontal="center" vertical="center" shrinkToFit="1"/>
    </xf>
    <xf numFmtId="176" fontId="4" fillId="0" borderId="1" xfId="0" applyNumberFormat="1" applyFont="1" applyBorder="1" applyAlignment="1">
      <alignment horizontal="center" vertical="center" shrinkToFit="1"/>
    </xf>
    <xf numFmtId="176" fontId="4" fillId="0" borderId="0" xfId="0" applyNumberFormat="1" applyFont="1" applyAlignment="1">
      <alignment horizontal="center" vertical="center" shrinkToFit="1"/>
    </xf>
    <xf numFmtId="0" fontId="8" fillId="0" borderId="0" xfId="0" applyFont="1">
      <alignment vertical="center"/>
    </xf>
    <xf numFmtId="0" fontId="6" fillId="0" borderId="1" xfId="0" applyFont="1" applyBorder="1">
      <alignment vertical="center"/>
    </xf>
    <xf numFmtId="0" fontId="7"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
  <sheetViews>
    <sheetView tabSelected="1" workbookViewId="0">
      <selection activeCell="P12" sqref="P12"/>
    </sheetView>
  </sheetViews>
  <sheetFormatPr defaultRowHeight="15.75" x14ac:dyDescent="0.15"/>
  <cols>
    <col min="1" max="1" width="5.75" style="1" customWidth="1"/>
    <col min="2" max="2" width="18" style="2" customWidth="1"/>
    <col min="3" max="3" width="9.75" style="1" customWidth="1"/>
    <col min="4" max="4" width="5.125" style="1" customWidth="1"/>
    <col min="5" max="5" width="12.75" style="1" bestFit="1" customWidth="1"/>
    <col min="6" max="6" width="14.125" style="6" customWidth="1"/>
    <col min="7" max="7" width="9.75" style="6" customWidth="1"/>
    <col min="8" max="8" width="12.5" style="6" customWidth="1"/>
    <col min="9" max="9" width="12.25" style="8" customWidth="1"/>
    <col min="10" max="10" width="14.625" style="24" customWidth="1"/>
  </cols>
  <sheetData>
    <row r="1" spans="1:11" s="25" customFormat="1" ht="28.5" customHeight="1" x14ac:dyDescent="0.15">
      <c r="A1" s="27" t="s">
        <v>57</v>
      </c>
      <c r="B1" s="27"/>
      <c r="C1" s="27"/>
      <c r="D1" s="27"/>
      <c r="E1" s="27"/>
      <c r="F1" s="27"/>
      <c r="G1" s="27"/>
      <c r="H1" s="27"/>
      <c r="I1" s="27"/>
      <c r="J1" s="27"/>
      <c r="K1" s="27"/>
    </row>
    <row r="2" spans="1:11" ht="21.75" customHeight="1" x14ac:dyDescent="0.15">
      <c r="A2" s="3" t="s">
        <v>48</v>
      </c>
      <c r="B2" s="3" t="s">
        <v>0</v>
      </c>
      <c r="C2" s="3" t="s">
        <v>1</v>
      </c>
      <c r="D2" s="3" t="s">
        <v>2</v>
      </c>
      <c r="E2" s="3" t="s">
        <v>3</v>
      </c>
      <c r="F2" s="4" t="s">
        <v>49</v>
      </c>
      <c r="G2" s="4" t="s">
        <v>50</v>
      </c>
      <c r="H2" s="9" t="s">
        <v>51</v>
      </c>
      <c r="I2" s="13" t="s">
        <v>53</v>
      </c>
      <c r="J2" s="21" t="s">
        <v>54</v>
      </c>
      <c r="K2" s="13" t="s">
        <v>55</v>
      </c>
    </row>
    <row r="3" spans="1:11" s="12" customFormat="1" ht="22.5" customHeight="1" x14ac:dyDescent="0.15">
      <c r="A3" s="10">
        <v>1</v>
      </c>
      <c r="B3" s="11" t="s">
        <v>47</v>
      </c>
      <c r="C3" s="10" t="str">
        <f>"庄安琪"</f>
        <v>庄安琪</v>
      </c>
      <c r="D3" s="10" t="str">
        <f>"女"</f>
        <v>女</v>
      </c>
      <c r="E3" s="10" t="str">
        <f>"20200700101"</f>
        <v>20200700101</v>
      </c>
      <c r="F3" s="7">
        <v>70.2</v>
      </c>
      <c r="G3" s="7">
        <v>70.5</v>
      </c>
      <c r="H3" s="7">
        <f t="shared" ref="H3:H34" si="0">SUM(F3:G3)</f>
        <v>140.69999999999999</v>
      </c>
      <c r="I3" s="4">
        <v>76.2</v>
      </c>
      <c r="J3" s="22">
        <f t="shared" ref="J3:J34" si="1">H3/2*0.6+I3*0.4</f>
        <v>72.69</v>
      </c>
      <c r="K3" s="20"/>
    </row>
    <row r="4" spans="1:11" s="12" customFormat="1" ht="22.5" customHeight="1" x14ac:dyDescent="0.15">
      <c r="A4" s="10">
        <v>2</v>
      </c>
      <c r="B4" s="11" t="s">
        <v>12</v>
      </c>
      <c r="C4" s="10" t="str">
        <f>"王新睿"</f>
        <v>王新睿</v>
      </c>
      <c r="D4" s="10" t="str">
        <f>"男"</f>
        <v>男</v>
      </c>
      <c r="E4" s="10" t="str">
        <f>"20200700111"</f>
        <v>20200700111</v>
      </c>
      <c r="F4" s="7">
        <v>59.2</v>
      </c>
      <c r="G4" s="7">
        <v>73</v>
      </c>
      <c r="H4" s="7">
        <f t="shared" si="0"/>
        <v>132.19999999999999</v>
      </c>
      <c r="I4" s="4">
        <v>78</v>
      </c>
      <c r="J4" s="22">
        <f t="shared" si="1"/>
        <v>70.86</v>
      </c>
      <c r="K4" s="20"/>
    </row>
    <row r="5" spans="1:11" s="12" customFormat="1" ht="21.75" customHeight="1" x14ac:dyDescent="0.15">
      <c r="A5" s="10">
        <v>3</v>
      </c>
      <c r="B5" s="11" t="s">
        <v>12</v>
      </c>
      <c r="C5" s="10" t="str">
        <f>"刘睿"</f>
        <v>刘睿</v>
      </c>
      <c r="D5" s="10" t="str">
        <f>"男"</f>
        <v>男</v>
      </c>
      <c r="E5" s="10" t="str">
        <f>"20200700106"</f>
        <v>20200700106</v>
      </c>
      <c r="F5" s="7">
        <v>57.3</v>
      </c>
      <c r="G5" s="7">
        <v>70</v>
      </c>
      <c r="H5" s="7">
        <f t="shared" si="0"/>
        <v>127.3</v>
      </c>
      <c r="I5" s="4">
        <v>80</v>
      </c>
      <c r="J5" s="22">
        <f t="shared" si="1"/>
        <v>70.19</v>
      </c>
      <c r="K5" s="20"/>
    </row>
    <row r="6" spans="1:11" s="17" customFormat="1" ht="21.75" customHeight="1" x14ac:dyDescent="0.15">
      <c r="A6" s="10">
        <v>4</v>
      </c>
      <c r="B6" s="16" t="s">
        <v>12</v>
      </c>
      <c r="C6" s="15"/>
      <c r="D6" s="15"/>
      <c r="E6" s="15" t="str">
        <f>"20200700107"</f>
        <v>20200700107</v>
      </c>
      <c r="F6" s="5">
        <v>62.5</v>
      </c>
      <c r="G6" s="5">
        <v>65.5</v>
      </c>
      <c r="H6" s="5">
        <f t="shared" si="0"/>
        <v>128</v>
      </c>
      <c r="I6" s="14">
        <v>78.599999999999994</v>
      </c>
      <c r="J6" s="23">
        <f t="shared" si="1"/>
        <v>69.84</v>
      </c>
      <c r="K6" s="19"/>
    </row>
    <row r="7" spans="1:11" s="17" customFormat="1" ht="21.75" customHeight="1" x14ac:dyDescent="0.15">
      <c r="A7" s="10">
        <v>5</v>
      </c>
      <c r="B7" s="16" t="s">
        <v>12</v>
      </c>
      <c r="C7" s="15"/>
      <c r="D7" s="15"/>
      <c r="E7" s="15" t="str">
        <f>"20200700109"</f>
        <v>20200700109</v>
      </c>
      <c r="F7" s="5">
        <v>54.5</v>
      </c>
      <c r="G7" s="5">
        <v>66</v>
      </c>
      <c r="H7" s="5">
        <f t="shared" si="0"/>
        <v>120.5</v>
      </c>
      <c r="I7" s="14">
        <v>75.400000000000006</v>
      </c>
      <c r="J7" s="23">
        <f t="shared" si="1"/>
        <v>66.31</v>
      </c>
      <c r="K7" s="19"/>
    </row>
    <row r="8" spans="1:11" s="17" customFormat="1" ht="21.75" customHeight="1" x14ac:dyDescent="0.15">
      <c r="A8" s="10">
        <v>6</v>
      </c>
      <c r="B8" s="16" t="s">
        <v>12</v>
      </c>
      <c r="C8" s="15"/>
      <c r="D8" s="15"/>
      <c r="E8" s="15" t="str">
        <f>"20200700110"</f>
        <v>20200700110</v>
      </c>
      <c r="F8" s="5">
        <v>45.2</v>
      </c>
      <c r="G8" s="5">
        <v>67</v>
      </c>
      <c r="H8" s="5">
        <f t="shared" si="0"/>
        <v>112.2</v>
      </c>
      <c r="I8" s="14">
        <v>0</v>
      </c>
      <c r="J8" s="23">
        <f t="shared" si="1"/>
        <v>33.659999999999997</v>
      </c>
      <c r="K8" s="26" t="s">
        <v>58</v>
      </c>
    </row>
    <row r="9" spans="1:11" s="12" customFormat="1" ht="21.75" customHeight="1" x14ac:dyDescent="0.15">
      <c r="A9" s="10">
        <v>7</v>
      </c>
      <c r="B9" s="11" t="s">
        <v>4</v>
      </c>
      <c r="C9" s="10" t="str">
        <f>"王梦迪"</f>
        <v>王梦迪</v>
      </c>
      <c r="D9" s="10" t="str">
        <f>"女"</f>
        <v>女</v>
      </c>
      <c r="E9" s="10" t="str">
        <f>"20200700202"</f>
        <v>20200700202</v>
      </c>
      <c r="F9" s="7">
        <v>72.099999999999994</v>
      </c>
      <c r="G9" s="7">
        <v>75</v>
      </c>
      <c r="H9" s="7">
        <f t="shared" si="0"/>
        <v>147.1</v>
      </c>
      <c r="I9" s="4">
        <v>80.2</v>
      </c>
      <c r="J9" s="22">
        <f t="shared" si="1"/>
        <v>76.210000000000008</v>
      </c>
      <c r="K9" s="20"/>
    </row>
    <row r="10" spans="1:11" s="12" customFormat="1" ht="21.75" customHeight="1" x14ac:dyDescent="0.15">
      <c r="A10" s="10">
        <v>8</v>
      </c>
      <c r="B10" s="11" t="s">
        <v>4</v>
      </c>
      <c r="C10" s="10" t="str">
        <f>"吴玉磊"</f>
        <v>吴玉磊</v>
      </c>
      <c r="D10" s="10" t="str">
        <f>"男"</f>
        <v>男</v>
      </c>
      <c r="E10" s="10" t="str">
        <f>"20200700129"</f>
        <v>20200700129</v>
      </c>
      <c r="F10" s="7">
        <v>78.099999999999994</v>
      </c>
      <c r="G10" s="7">
        <v>69.5</v>
      </c>
      <c r="H10" s="7">
        <f t="shared" si="0"/>
        <v>147.6</v>
      </c>
      <c r="I10" s="4">
        <v>77.400000000000006</v>
      </c>
      <c r="J10" s="22">
        <f t="shared" si="1"/>
        <v>75.239999999999995</v>
      </c>
      <c r="K10" s="20"/>
    </row>
    <row r="11" spans="1:11" s="12" customFormat="1" ht="21.75" customHeight="1" x14ac:dyDescent="0.15">
      <c r="A11" s="10">
        <v>9</v>
      </c>
      <c r="B11" s="11" t="s">
        <v>4</v>
      </c>
      <c r="C11" s="10" t="str">
        <f>"王昌旭"</f>
        <v>王昌旭</v>
      </c>
      <c r="D11" s="10" t="str">
        <f>"男"</f>
        <v>男</v>
      </c>
      <c r="E11" s="10" t="str">
        <f>"20200700217"</f>
        <v>20200700217</v>
      </c>
      <c r="F11" s="7">
        <v>73.5</v>
      </c>
      <c r="G11" s="7">
        <v>70</v>
      </c>
      <c r="H11" s="7">
        <f t="shared" si="0"/>
        <v>143.5</v>
      </c>
      <c r="I11" s="4">
        <v>79</v>
      </c>
      <c r="J11" s="22">
        <f t="shared" si="1"/>
        <v>74.650000000000006</v>
      </c>
      <c r="K11" s="20"/>
    </row>
    <row r="12" spans="1:11" s="12" customFormat="1" ht="21.75" customHeight="1" x14ac:dyDescent="0.15">
      <c r="A12" s="10">
        <v>10</v>
      </c>
      <c r="B12" s="11" t="s">
        <v>4</v>
      </c>
      <c r="C12" s="10" t="str">
        <f>"冯婧"</f>
        <v>冯婧</v>
      </c>
      <c r="D12" s="10" t="str">
        <f>"女"</f>
        <v>女</v>
      </c>
      <c r="E12" s="10" t="str">
        <f>"20200700126"</f>
        <v>20200700126</v>
      </c>
      <c r="F12" s="7">
        <v>71.7</v>
      </c>
      <c r="G12" s="7">
        <v>67.5</v>
      </c>
      <c r="H12" s="7">
        <f t="shared" si="0"/>
        <v>139.19999999999999</v>
      </c>
      <c r="I12" s="4">
        <v>80.2</v>
      </c>
      <c r="J12" s="22">
        <f t="shared" si="1"/>
        <v>73.84</v>
      </c>
      <c r="K12" s="20"/>
    </row>
    <row r="13" spans="1:11" s="12" customFormat="1" ht="21.75" customHeight="1" x14ac:dyDescent="0.15">
      <c r="A13" s="10">
        <v>11</v>
      </c>
      <c r="B13" s="11" t="s">
        <v>4</v>
      </c>
      <c r="C13" s="10" t="str">
        <f>"程世磊"</f>
        <v>程世磊</v>
      </c>
      <c r="D13" s="10" t="str">
        <f>"男"</f>
        <v>男</v>
      </c>
      <c r="E13" s="10" t="str">
        <f>"20200700213"</f>
        <v>20200700213</v>
      </c>
      <c r="F13" s="7">
        <v>69.2</v>
      </c>
      <c r="G13" s="7">
        <v>68</v>
      </c>
      <c r="H13" s="7">
        <f t="shared" si="0"/>
        <v>137.19999999999999</v>
      </c>
      <c r="I13" s="4">
        <v>80.8</v>
      </c>
      <c r="J13" s="22">
        <f t="shared" si="1"/>
        <v>73.47999999999999</v>
      </c>
      <c r="K13" s="20"/>
    </row>
    <row r="14" spans="1:11" s="17" customFormat="1" ht="21.75" customHeight="1" x14ac:dyDescent="0.15">
      <c r="A14" s="10">
        <v>12</v>
      </c>
      <c r="B14" s="16" t="s">
        <v>4</v>
      </c>
      <c r="C14" s="15"/>
      <c r="D14" s="15"/>
      <c r="E14" s="15" t="str">
        <f>"20200700124"</f>
        <v>20200700124</v>
      </c>
      <c r="F14" s="5">
        <v>71.099999999999994</v>
      </c>
      <c r="G14" s="5">
        <v>72</v>
      </c>
      <c r="H14" s="5">
        <f t="shared" si="0"/>
        <v>143.1</v>
      </c>
      <c r="I14" s="14">
        <v>75.8</v>
      </c>
      <c r="J14" s="23">
        <f t="shared" si="1"/>
        <v>73.25</v>
      </c>
      <c r="K14" s="19"/>
    </row>
    <row r="15" spans="1:11" s="17" customFormat="1" ht="21.75" customHeight="1" x14ac:dyDescent="0.15">
      <c r="A15" s="10">
        <v>13</v>
      </c>
      <c r="B15" s="16" t="s">
        <v>4</v>
      </c>
      <c r="C15" s="15"/>
      <c r="D15" s="15"/>
      <c r="E15" s="15" t="str">
        <f>"20200700216"</f>
        <v>20200700216</v>
      </c>
      <c r="F15" s="5">
        <v>66.5</v>
      </c>
      <c r="G15" s="5">
        <v>69.5</v>
      </c>
      <c r="H15" s="5">
        <f t="shared" si="0"/>
        <v>136</v>
      </c>
      <c r="I15" s="14">
        <v>80.599999999999994</v>
      </c>
      <c r="J15" s="23">
        <f t="shared" si="1"/>
        <v>73.039999999999992</v>
      </c>
      <c r="K15" s="19"/>
    </row>
    <row r="16" spans="1:11" s="17" customFormat="1" ht="21.75" customHeight="1" x14ac:dyDescent="0.15">
      <c r="A16" s="10">
        <v>14</v>
      </c>
      <c r="B16" s="16" t="s">
        <v>4</v>
      </c>
      <c r="C16" s="15"/>
      <c r="D16" s="15"/>
      <c r="E16" s="15" t="str">
        <f>"20200700128"</f>
        <v>20200700128</v>
      </c>
      <c r="F16" s="5">
        <v>62.1</v>
      </c>
      <c r="G16" s="5">
        <v>72.5</v>
      </c>
      <c r="H16" s="5">
        <f t="shared" si="0"/>
        <v>134.6</v>
      </c>
      <c r="I16" s="14">
        <v>80</v>
      </c>
      <c r="J16" s="23">
        <f t="shared" si="1"/>
        <v>72.38</v>
      </c>
      <c r="K16" s="19"/>
    </row>
    <row r="17" spans="1:11" s="17" customFormat="1" ht="21.75" customHeight="1" x14ac:dyDescent="0.15">
      <c r="A17" s="10">
        <v>15</v>
      </c>
      <c r="B17" s="16" t="s">
        <v>4</v>
      </c>
      <c r="C17" s="15"/>
      <c r="D17" s="15"/>
      <c r="E17" s="15" t="str">
        <f>"20200700219"</f>
        <v>20200700219</v>
      </c>
      <c r="F17" s="5">
        <v>61.1</v>
      </c>
      <c r="G17" s="5">
        <v>69</v>
      </c>
      <c r="H17" s="5">
        <f t="shared" si="0"/>
        <v>130.1</v>
      </c>
      <c r="I17" s="18">
        <v>79.2</v>
      </c>
      <c r="J17" s="23">
        <f t="shared" si="1"/>
        <v>70.709999999999994</v>
      </c>
      <c r="K17" s="19"/>
    </row>
    <row r="18" spans="1:11" s="17" customFormat="1" ht="21.75" customHeight="1" x14ac:dyDescent="0.15">
      <c r="A18" s="10">
        <v>16</v>
      </c>
      <c r="B18" s="16" t="s">
        <v>4</v>
      </c>
      <c r="C18" s="15"/>
      <c r="D18" s="15"/>
      <c r="E18" s="15" t="str">
        <f>"20200700115"</f>
        <v>20200700115</v>
      </c>
      <c r="F18" s="5">
        <v>58.4</v>
      </c>
      <c r="G18" s="5">
        <v>73</v>
      </c>
      <c r="H18" s="5">
        <f t="shared" si="0"/>
        <v>131.4</v>
      </c>
      <c r="I18" s="14">
        <v>78</v>
      </c>
      <c r="J18" s="23">
        <f t="shared" si="1"/>
        <v>70.62</v>
      </c>
      <c r="K18" s="19"/>
    </row>
    <row r="19" spans="1:11" s="17" customFormat="1" ht="21.75" customHeight="1" x14ac:dyDescent="0.15">
      <c r="A19" s="10">
        <v>17</v>
      </c>
      <c r="B19" s="16" t="s">
        <v>4</v>
      </c>
      <c r="C19" s="15"/>
      <c r="D19" s="15"/>
      <c r="E19" s="15" t="str">
        <f>"20200700221"</f>
        <v>20200700221</v>
      </c>
      <c r="F19" s="5">
        <v>65.900000000000006</v>
      </c>
      <c r="G19" s="5">
        <v>68.5</v>
      </c>
      <c r="H19" s="5">
        <f t="shared" si="0"/>
        <v>134.4</v>
      </c>
      <c r="I19" s="14">
        <v>74.2</v>
      </c>
      <c r="J19" s="23">
        <f t="shared" si="1"/>
        <v>70</v>
      </c>
      <c r="K19" s="19"/>
    </row>
    <row r="20" spans="1:11" s="17" customFormat="1" ht="21.75" customHeight="1" x14ac:dyDescent="0.15">
      <c r="A20" s="10">
        <v>18</v>
      </c>
      <c r="B20" s="16" t="s">
        <v>4</v>
      </c>
      <c r="C20" s="15"/>
      <c r="D20" s="15"/>
      <c r="E20" s="15" t="str">
        <f>"20200700209"</f>
        <v>20200700209</v>
      </c>
      <c r="F20" s="5">
        <v>59.8</v>
      </c>
      <c r="G20" s="5">
        <v>70.5</v>
      </c>
      <c r="H20" s="5">
        <f t="shared" si="0"/>
        <v>130.30000000000001</v>
      </c>
      <c r="I20" s="14">
        <v>76.599999999999994</v>
      </c>
      <c r="J20" s="23">
        <f t="shared" si="1"/>
        <v>69.73</v>
      </c>
      <c r="K20" s="19"/>
    </row>
    <row r="21" spans="1:11" s="17" customFormat="1" ht="21.75" customHeight="1" x14ac:dyDescent="0.15">
      <c r="A21" s="10">
        <v>19</v>
      </c>
      <c r="B21" s="16" t="s">
        <v>4</v>
      </c>
      <c r="C21" s="15"/>
      <c r="D21" s="15"/>
      <c r="E21" s="15" t="str">
        <f>"20200700127"</f>
        <v>20200700127</v>
      </c>
      <c r="F21" s="5">
        <v>59.7</v>
      </c>
      <c r="G21" s="5">
        <v>70.5</v>
      </c>
      <c r="H21" s="5">
        <f t="shared" si="0"/>
        <v>130.19999999999999</v>
      </c>
      <c r="I21" s="14">
        <v>73.2</v>
      </c>
      <c r="J21" s="23">
        <f t="shared" si="1"/>
        <v>68.34</v>
      </c>
      <c r="K21" s="19"/>
    </row>
    <row r="22" spans="1:11" s="17" customFormat="1" ht="21.75" customHeight="1" x14ac:dyDescent="0.15">
      <c r="A22" s="10">
        <v>20</v>
      </c>
      <c r="B22" s="16" t="s">
        <v>4</v>
      </c>
      <c r="C22" s="15"/>
      <c r="D22" s="15"/>
      <c r="E22" s="15" t="str">
        <f>"20200700118"</f>
        <v>20200700118</v>
      </c>
      <c r="F22" s="5">
        <v>62.8</v>
      </c>
      <c r="G22" s="5">
        <v>73</v>
      </c>
      <c r="H22" s="5">
        <f t="shared" si="0"/>
        <v>135.80000000000001</v>
      </c>
      <c r="I22" s="14">
        <v>0</v>
      </c>
      <c r="J22" s="23">
        <f t="shared" si="1"/>
        <v>40.74</v>
      </c>
      <c r="K22" s="26" t="s">
        <v>58</v>
      </c>
    </row>
    <row r="23" spans="1:11" s="12" customFormat="1" ht="21.75" customHeight="1" x14ac:dyDescent="0.15">
      <c r="A23" s="10">
        <v>21</v>
      </c>
      <c r="B23" s="11" t="s">
        <v>34</v>
      </c>
      <c r="C23" s="10" t="str">
        <f>"梅文峰"</f>
        <v>梅文峰</v>
      </c>
      <c r="D23" s="10" t="str">
        <f>"男"</f>
        <v>男</v>
      </c>
      <c r="E23" s="10" t="str">
        <f>"20200700225"</f>
        <v>20200700225</v>
      </c>
      <c r="F23" s="7">
        <v>62.3</v>
      </c>
      <c r="G23" s="7">
        <v>74</v>
      </c>
      <c r="H23" s="7">
        <f t="shared" si="0"/>
        <v>136.30000000000001</v>
      </c>
      <c r="I23" s="4">
        <v>74.2</v>
      </c>
      <c r="J23" s="22">
        <f t="shared" si="1"/>
        <v>70.570000000000007</v>
      </c>
      <c r="K23" s="20"/>
    </row>
    <row r="24" spans="1:11" s="12" customFormat="1" ht="21.75" customHeight="1" x14ac:dyDescent="0.15">
      <c r="A24" s="10">
        <v>22</v>
      </c>
      <c r="B24" s="11" t="s">
        <v>46</v>
      </c>
      <c r="C24" s="10" t="str">
        <f>"徐甜甜"</f>
        <v>徐甜甜</v>
      </c>
      <c r="D24" s="10" t="str">
        <f>"女"</f>
        <v>女</v>
      </c>
      <c r="E24" s="10" t="str">
        <f>"20200700230"</f>
        <v>20200700230</v>
      </c>
      <c r="F24" s="7">
        <v>57.7</v>
      </c>
      <c r="G24" s="7">
        <v>73.5</v>
      </c>
      <c r="H24" s="7">
        <f t="shared" si="0"/>
        <v>131.19999999999999</v>
      </c>
      <c r="I24" s="4">
        <v>80.400000000000006</v>
      </c>
      <c r="J24" s="22">
        <f t="shared" si="1"/>
        <v>71.52</v>
      </c>
      <c r="K24" s="20"/>
    </row>
    <row r="25" spans="1:11" s="12" customFormat="1" ht="21.75" customHeight="1" x14ac:dyDescent="0.15">
      <c r="A25" s="10">
        <v>23</v>
      </c>
      <c r="B25" s="11" t="s">
        <v>52</v>
      </c>
      <c r="C25" s="10" t="str">
        <f>"刘紫叶"</f>
        <v>刘紫叶</v>
      </c>
      <c r="D25" s="10" t="str">
        <f>"女"</f>
        <v>女</v>
      </c>
      <c r="E25" s="10" t="str">
        <f>"20200700306"</f>
        <v>20200700306</v>
      </c>
      <c r="F25" s="7">
        <v>60.3</v>
      </c>
      <c r="G25" s="7">
        <v>68.5</v>
      </c>
      <c r="H25" s="7">
        <f t="shared" si="0"/>
        <v>128.80000000000001</v>
      </c>
      <c r="I25" s="4">
        <v>75.2</v>
      </c>
      <c r="J25" s="22">
        <f t="shared" si="1"/>
        <v>68.72</v>
      </c>
      <c r="K25" s="20"/>
    </row>
    <row r="26" spans="1:11" s="17" customFormat="1" ht="21.75" customHeight="1" x14ac:dyDescent="0.15">
      <c r="A26" s="10">
        <v>24</v>
      </c>
      <c r="B26" s="16" t="s">
        <v>23</v>
      </c>
      <c r="C26" s="15"/>
      <c r="D26" s="15"/>
      <c r="E26" s="15" t="str">
        <f>"20200700304"</f>
        <v>20200700304</v>
      </c>
      <c r="F26" s="5">
        <v>47.7</v>
      </c>
      <c r="G26" s="5">
        <v>74</v>
      </c>
      <c r="H26" s="5">
        <f t="shared" si="0"/>
        <v>121.7</v>
      </c>
      <c r="I26" s="14">
        <v>79.599999999999994</v>
      </c>
      <c r="J26" s="23">
        <f t="shared" si="1"/>
        <v>68.349999999999994</v>
      </c>
      <c r="K26" s="19"/>
    </row>
    <row r="27" spans="1:11" s="12" customFormat="1" ht="21.75" customHeight="1" x14ac:dyDescent="0.15">
      <c r="A27" s="10">
        <v>25</v>
      </c>
      <c r="B27" s="11" t="s">
        <v>9</v>
      </c>
      <c r="C27" s="10" t="str">
        <f>"戚雨晨"</f>
        <v>戚雨晨</v>
      </c>
      <c r="D27" s="10" t="str">
        <f>"男"</f>
        <v>男</v>
      </c>
      <c r="E27" s="10" t="str">
        <f>"20200700314"</f>
        <v>20200700314</v>
      </c>
      <c r="F27" s="7">
        <v>70.400000000000006</v>
      </c>
      <c r="G27" s="7">
        <v>70</v>
      </c>
      <c r="H27" s="7">
        <f t="shared" si="0"/>
        <v>140.4</v>
      </c>
      <c r="I27" s="4">
        <v>81</v>
      </c>
      <c r="J27" s="22">
        <f t="shared" si="1"/>
        <v>74.52</v>
      </c>
      <c r="K27" s="20"/>
    </row>
    <row r="28" spans="1:11" s="17" customFormat="1" ht="21.75" customHeight="1" x14ac:dyDescent="0.15">
      <c r="A28" s="10">
        <v>26</v>
      </c>
      <c r="B28" s="16" t="s">
        <v>9</v>
      </c>
      <c r="C28" s="15"/>
      <c r="D28" s="15"/>
      <c r="E28" s="15" t="str">
        <f>"20200700323"</f>
        <v>20200700323</v>
      </c>
      <c r="F28" s="5">
        <v>70</v>
      </c>
      <c r="G28" s="5">
        <v>70.5</v>
      </c>
      <c r="H28" s="5">
        <f t="shared" si="0"/>
        <v>140.5</v>
      </c>
      <c r="I28" s="14">
        <v>78</v>
      </c>
      <c r="J28" s="23">
        <f t="shared" si="1"/>
        <v>73.349999999999994</v>
      </c>
      <c r="K28" s="19"/>
    </row>
    <row r="29" spans="1:11" s="17" customFormat="1" ht="21.75" customHeight="1" x14ac:dyDescent="0.15">
      <c r="A29" s="10">
        <v>27</v>
      </c>
      <c r="B29" s="16" t="s">
        <v>9</v>
      </c>
      <c r="C29" s="15"/>
      <c r="D29" s="15"/>
      <c r="E29" s="15" t="str">
        <f>"20200700308"</f>
        <v>20200700308</v>
      </c>
      <c r="F29" s="5">
        <v>58.7</v>
      </c>
      <c r="G29" s="5">
        <v>73.5</v>
      </c>
      <c r="H29" s="5">
        <f t="shared" si="0"/>
        <v>132.19999999999999</v>
      </c>
      <c r="I29" s="14">
        <v>77.400000000000006</v>
      </c>
      <c r="J29" s="23">
        <f t="shared" si="1"/>
        <v>70.62</v>
      </c>
      <c r="K29" s="19"/>
    </row>
    <row r="30" spans="1:11" s="12" customFormat="1" ht="21.75" customHeight="1" x14ac:dyDescent="0.15">
      <c r="A30" s="10">
        <v>28</v>
      </c>
      <c r="B30" s="11" t="s">
        <v>16</v>
      </c>
      <c r="C30" s="10" t="str">
        <f>"刘莹"</f>
        <v>刘莹</v>
      </c>
      <c r="D30" s="10" t="str">
        <f>"女"</f>
        <v>女</v>
      </c>
      <c r="E30" s="10" t="str">
        <f>"20200700326"</f>
        <v>20200700326</v>
      </c>
      <c r="F30" s="7">
        <v>61.3</v>
      </c>
      <c r="G30" s="7">
        <v>70</v>
      </c>
      <c r="H30" s="7">
        <f t="shared" si="0"/>
        <v>131.30000000000001</v>
      </c>
      <c r="I30" s="4">
        <v>74.2</v>
      </c>
      <c r="J30" s="22">
        <f t="shared" si="1"/>
        <v>69.070000000000007</v>
      </c>
      <c r="K30" s="20"/>
    </row>
    <row r="31" spans="1:11" s="12" customFormat="1" ht="21.75" customHeight="1" x14ac:dyDescent="0.15">
      <c r="A31" s="10">
        <v>29</v>
      </c>
      <c r="B31" s="11" t="s">
        <v>16</v>
      </c>
      <c r="C31" s="10" t="str">
        <f>"陆子豪"</f>
        <v>陆子豪</v>
      </c>
      <c r="D31" s="10" t="str">
        <f>"男"</f>
        <v>男</v>
      </c>
      <c r="E31" s="10" t="str">
        <f>"20200700327"</f>
        <v>20200700327</v>
      </c>
      <c r="F31" s="7">
        <v>51.6</v>
      </c>
      <c r="G31" s="7">
        <v>71.5</v>
      </c>
      <c r="H31" s="7">
        <f t="shared" si="0"/>
        <v>123.1</v>
      </c>
      <c r="I31" s="4">
        <v>70.8</v>
      </c>
      <c r="J31" s="22">
        <f t="shared" si="1"/>
        <v>65.25</v>
      </c>
      <c r="K31" s="20"/>
    </row>
    <row r="32" spans="1:11" s="12" customFormat="1" ht="21.75" customHeight="1" x14ac:dyDescent="0.15">
      <c r="A32" s="10">
        <v>30</v>
      </c>
      <c r="B32" s="11" t="s">
        <v>44</v>
      </c>
      <c r="C32" s="10" t="str">
        <f>"邓克倩"</f>
        <v>邓克倩</v>
      </c>
      <c r="D32" s="10" t="str">
        <f>"女"</f>
        <v>女</v>
      </c>
      <c r="E32" s="10" t="str">
        <f>"20200700404"</f>
        <v>20200700404</v>
      </c>
      <c r="F32" s="7">
        <v>63.4</v>
      </c>
      <c r="G32" s="7">
        <v>72</v>
      </c>
      <c r="H32" s="7">
        <f t="shared" si="0"/>
        <v>135.4</v>
      </c>
      <c r="I32" s="4">
        <v>76.599999999999994</v>
      </c>
      <c r="J32" s="22">
        <f t="shared" si="1"/>
        <v>71.259999999999991</v>
      </c>
      <c r="K32" s="20"/>
    </row>
    <row r="33" spans="1:11" s="17" customFormat="1" ht="21.75" customHeight="1" x14ac:dyDescent="0.15">
      <c r="A33" s="10">
        <v>31</v>
      </c>
      <c r="B33" s="16" t="s">
        <v>44</v>
      </c>
      <c r="C33" s="15"/>
      <c r="D33" s="15"/>
      <c r="E33" s="15" t="str">
        <f>"20200700403"</f>
        <v>20200700403</v>
      </c>
      <c r="F33" s="5">
        <v>59.1</v>
      </c>
      <c r="G33" s="5">
        <v>67</v>
      </c>
      <c r="H33" s="5">
        <f t="shared" si="0"/>
        <v>126.1</v>
      </c>
      <c r="I33" s="14">
        <v>0</v>
      </c>
      <c r="J33" s="23">
        <f t="shared" si="1"/>
        <v>37.83</v>
      </c>
      <c r="K33" s="26" t="s">
        <v>58</v>
      </c>
    </row>
    <row r="34" spans="1:11" s="12" customFormat="1" ht="21.75" customHeight="1" x14ac:dyDescent="0.15">
      <c r="A34" s="10">
        <v>32</v>
      </c>
      <c r="B34" s="11" t="s">
        <v>22</v>
      </c>
      <c r="C34" s="10" t="str">
        <f>"刘宋"</f>
        <v>刘宋</v>
      </c>
      <c r="D34" s="10" t="str">
        <f>"男"</f>
        <v>男</v>
      </c>
      <c r="E34" s="10" t="str">
        <f>"20200700410"</f>
        <v>20200700410</v>
      </c>
      <c r="F34" s="7">
        <v>65.099999999999994</v>
      </c>
      <c r="G34" s="7">
        <v>73</v>
      </c>
      <c r="H34" s="7">
        <f t="shared" si="0"/>
        <v>138.1</v>
      </c>
      <c r="I34" s="4">
        <v>77</v>
      </c>
      <c r="J34" s="22">
        <f t="shared" si="1"/>
        <v>72.23</v>
      </c>
      <c r="K34" s="20"/>
    </row>
    <row r="35" spans="1:11" s="17" customFormat="1" ht="21.75" customHeight="1" x14ac:dyDescent="0.15">
      <c r="A35" s="10">
        <v>33</v>
      </c>
      <c r="B35" s="16" t="s">
        <v>22</v>
      </c>
      <c r="C35" s="15"/>
      <c r="D35" s="15"/>
      <c r="E35" s="15" t="str">
        <f>"20200700409"</f>
        <v>20200700409</v>
      </c>
      <c r="F35" s="5">
        <v>60</v>
      </c>
      <c r="G35" s="5">
        <v>75.5</v>
      </c>
      <c r="H35" s="5">
        <f t="shared" ref="H35:H61" si="2">SUM(F35:G35)</f>
        <v>135.5</v>
      </c>
      <c r="I35" s="14">
        <v>78.2</v>
      </c>
      <c r="J35" s="23">
        <f t="shared" ref="J35:J61" si="3">H35/2*0.6+I35*0.4</f>
        <v>71.930000000000007</v>
      </c>
      <c r="K35" s="19"/>
    </row>
    <row r="36" spans="1:11" s="17" customFormat="1" ht="21.75" customHeight="1" x14ac:dyDescent="0.15">
      <c r="A36" s="10">
        <v>34</v>
      </c>
      <c r="B36" s="16" t="s">
        <v>22</v>
      </c>
      <c r="C36" s="15"/>
      <c r="D36" s="15"/>
      <c r="E36" s="15" t="str">
        <f>"20200700411"</f>
        <v>20200700411</v>
      </c>
      <c r="F36" s="5">
        <v>63.2</v>
      </c>
      <c r="G36" s="5">
        <v>74.5</v>
      </c>
      <c r="H36" s="5">
        <f t="shared" si="2"/>
        <v>137.69999999999999</v>
      </c>
      <c r="I36" s="14">
        <v>76.400000000000006</v>
      </c>
      <c r="J36" s="23">
        <f t="shared" si="3"/>
        <v>71.87</v>
      </c>
      <c r="K36" s="19"/>
    </row>
    <row r="37" spans="1:11" s="12" customFormat="1" ht="21.75" customHeight="1" x14ac:dyDescent="0.15">
      <c r="A37" s="10">
        <v>35</v>
      </c>
      <c r="B37" s="11" t="s">
        <v>28</v>
      </c>
      <c r="C37" s="10" t="str">
        <f>"孙传坤"</f>
        <v>孙传坤</v>
      </c>
      <c r="D37" s="10" t="str">
        <f>"女"</f>
        <v>女</v>
      </c>
      <c r="E37" s="10" t="str">
        <f>"20200700416"</f>
        <v>20200700416</v>
      </c>
      <c r="F37" s="7">
        <v>63.9</v>
      </c>
      <c r="G37" s="7">
        <v>73</v>
      </c>
      <c r="H37" s="7">
        <f t="shared" si="2"/>
        <v>136.9</v>
      </c>
      <c r="I37" s="4">
        <v>83</v>
      </c>
      <c r="J37" s="22">
        <f t="shared" si="3"/>
        <v>74.27000000000001</v>
      </c>
      <c r="K37" s="20"/>
    </row>
    <row r="38" spans="1:11" s="12" customFormat="1" ht="21.75" customHeight="1" x14ac:dyDescent="0.15">
      <c r="A38" s="10">
        <v>36</v>
      </c>
      <c r="B38" s="11" t="s">
        <v>28</v>
      </c>
      <c r="C38" s="10" t="str">
        <f>"王哲"</f>
        <v>王哲</v>
      </c>
      <c r="D38" s="10" t="str">
        <f>"女"</f>
        <v>女</v>
      </c>
      <c r="E38" s="10" t="str">
        <f>"20200700427"</f>
        <v>20200700427</v>
      </c>
      <c r="F38" s="7">
        <v>65.900000000000006</v>
      </c>
      <c r="G38" s="7">
        <v>73</v>
      </c>
      <c r="H38" s="7">
        <f t="shared" si="2"/>
        <v>138.9</v>
      </c>
      <c r="I38" s="4">
        <v>77.400000000000006</v>
      </c>
      <c r="J38" s="22">
        <f t="shared" si="3"/>
        <v>72.63000000000001</v>
      </c>
      <c r="K38" s="20"/>
    </row>
    <row r="39" spans="1:11" s="17" customFormat="1" ht="21.75" customHeight="1" x14ac:dyDescent="0.15">
      <c r="A39" s="10">
        <v>37</v>
      </c>
      <c r="B39" s="16" t="s">
        <v>28</v>
      </c>
      <c r="C39" s="15"/>
      <c r="D39" s="15"/>
      <c r="E39" s="15" t="str">
        <f>"20200700425"</f>
        <v>20200700425</v>
      </c>
      <c r="F39" s="5">
        <v>64.7</v>
      </c>
      <c r="G39" s="5">
        <v>73</v>
      </c>
      <c r="H39" s="5">
        <f t="shared" si="2"/>
        <v>137.69999999999999</v>
      </c>
      <c r="I39" s="14">
        <v>76.8</v>
      </c>
      <c r="J39" s="23">
        <f t="shared" si="3"/>
        <v>72.03</v>
      </c>
      <c r="K39" s="19"/>
    </row>
    <row r="40" spans="1:11" s="17" customFormat="1" ht="21.75" customHeight="1" x14ac:dyDescent="0.15">
      <c r="A40" s="10">
        <v>38</v>
      </c>
      <c r="B40" s="16" t="s">
        <v>28</v>
      </c>
      <c r="C40" s="15"/>
      <c r="D40" s="15"/>
      <c r="E40" s="15" t="str">
        <f>"20200700412"</f>
        <v>20200700412</v>
      </c>
      <c r="F40" s="5">
        <v>64.3</v>
      </c>
      <c r="G40" s="5">
        <v>74</v>
      </c>
      <c r="H40" s="5">
        <f t="shared" si="2"/>
        <v>138.30000000000001</v>
      </c>
      <c r="I40" s="14">
        <v>75.599999999999994</v>
      </c>
      <c r="J40" s="23">
        <f t="shared" si="3"/>
        <v>71.73</v>
      </c>
      <c r="K40" s="19"/>
    </row>
    <row r="41" spans="1:11" s="17" customFormat="1" ht="21.75" customHeight="1" x14ac:dyDescent="0.15">
      <c r="A41" s="10">
        <v>39</v>
      </c>
      <c r="B41" s="16" t="s">
        <v>28</v>
      </c>
      <c r="C41" s="15"/>
      <c r="D41" s="15"/>
      <c r="E41" s="15" t="str">
        <f>"20200700421"</f>
        <v>20200700421</v>
      </c>
      <c r="F41" s="5">
        <v>57.7</v>
      </c>
      <c r="G41" s="5">
        <v>75</v>
      </c>
      <c r="H41" s="5">
        <f t="shared" si="2"/>
        <v>132.69999999999999</v>
      </c>
      <c r="I41" s="14">
        <v>74.2</v>
      </c>
      <c r="J41" s="23">
        <f t="shared" si="3"/>
        <v>69.489999999999995</v>
      </c>
      <c r="K41" s="19"/>
    </row>
    <row r="42" spans="1:11" s="17" customFormat="1" ht="21.75" customHeight="1" x14ac:dyDescent="0.15">
      <c r="A42" s="10">
        <v>40</v>
      </c>
      <c r="B42" s="16" t="s">
        <v>28</v>
      </c>
      <c r="C42" s="15"/>
      <c r="D42" s="15"/>
      <c r="E42" s="15" t="str">
        <f>"20200700424"</f>
        <v>20200700424</v>
      </c>
      <c r="F42" s="5">
        <v>58</v>
      </c>
      <c r="G42" s="5">
        <v>72</v>
      </c>
      <c r="H42" s="5">
        <f t="shared" si="2"/>
        <v>130</v>
      </c>
      <c r="I42" s="14">
        <v>74</v>
      </c>
      <c r="J42" s="23">
        <f t="shared" si="3"/>
        <v>68.599999999999994</v>
      </c>
      <c r="K42" s="19"/>
    </row>
    <row r="43" spans="1:11" s="17" customFormat="1" ht="21.75" customHeight="1" x14ac:dyDescent="0.15">
      <c r="A43" s="10">
        <v>41</v>
      </c>
      <c r="B43" s="16" t="s">
        <v>28</v>
      </c>
      <c r="C43" s="15"/>
      <c r="D43" s="15"/>
      <c r="E43" s="15" t="str">
        <f>"20200700413"</f>
        <v>20200700413</v>
      </c>
      <c r="F43" s="5">
        <v>60.5</v>
      </c>
      <c r="G43" s="5">
        <v>69.5</v>
      </c>
      <c r="H43" s="5">
        <f t="shared" si="2"/>
        <v>130</v>
      </c>
      <c r="I43" s="14">
        <v>0</v>
      </c>
      <c r="J43" s="23">
        <f t="shared" si="3"/>
        <v>39</v>
      </c>
      <c r="K43" s="26" t="s">
        <v>58</v>
      </c>
    </row>
    <row r="44" spans="1:11" s="12" customFormat="1" ht="21.75" customHeight="1" x14ac:dyDescent="0.15">
      <c r="A44" s="10">
        <v>42</v>
      </c>
      <c r="B44" s="11" t="s">
        <v>45</v>
      </c>
      <c r="C44" s="10" t="str">
        <f>"杜程程"</f>
        <v>杜程程</v>
      </c>
      <c r="D44" s="10" t="str">
        <f>"男"</f>
        <v>男</v>
      </c>
      <c r="E44" s="10" t="str">
        <f>"20200700430"</f>
        <v>20200700430</v>
      </c>
      <c r="F44" s="7">
        <v>54.2</v>
      </c>
      <c r="G44" s="7">
        <v>70.5</v>
      </c>
      <c r="H44" s="7">
        <f t="shared" si="2"/>
        <v>124.7</v>
      </c>
      <c r="I44" s="4">
        <v>75.2</v>
      </c>
      <c r="J44" s="22">
        <f t="shared" si="3"/>
        <v>67.489999999999995</v>
      </c>
      <c r="K44" s="20"/>
    </row>
    <row r="45" spans="1:11" s="17" customFormat="1" ht="21.75" customHeight="1" x14ac:dyDescent="0.15">
      <c r="A45" s="10">
        <v>43</v>
      </c>
      <c r="B45" s="16" t="s">
        <v>45</v>
      </c>
      <c r="C45" s="15"/>
      <c r="D45" s="15"/>
      <c r="E45" s="15" t="str">
        <f>"20200700429"</f>
        <v>20200700429</v>
      </c>
      <c r="F45" s="5">
        <v>51</v>
      </c>
      <c r="G45" s="5">
        <v>70.5</v>
      </c>
      <c r="H45" s="5">
        <f t="shared" si="2"/>
        <v>121.5</v>
      </c>
      <c r="I45" s="14">
        <v>72.599999999999994</v>
      </c>
      <c r="J45" s="23">
        <f t="shared" si="3"/>
        <v>65.489999999999995</v>
      </c>
      <c r="K45" s="19"/>
    </row>
    <row r="46" spans="1:11" s="12" customFormat="1" ht="21.75" customHeight="1" x14ac:dyDescent="0.15">
      <c r="A46" s="10">
        <v>44</v>
      </c>
      <c r="B46" s="11" t="s">
        <v>10</v>
      </c>
      <c r="C46" s="10" t="str">
        <f>"程丽婷"</f>
        <v>程丽婷</v>
      </c>
      <c r="D46" s="10" t="str">
        <f>"女"</f>
        <v>女</v>
      </c>
      <c r="E46" s="10" t="str">
        <f>"20200700508"</f>
        <v>20200700508</v>
      </c>
      <c r="F46" s="7">
        <v>69</v>
      </c>
      <c r="G46" s="7">
        <v>72</v>
      </c>
      <c r="H46" s="7">
        <f t="shared" si="2"/>
        <v>141</v>
      </c>
      <c r="I46" s="4">
        <v>74</v>
      </c>
      <c r="J46" s="22">
        <f t="shared" si="3"/>
        <v>71.900000000000006</v>
      </c>
      <c r="K46" s="20"/>
    </row>
    <row r="47" spans="1:11" s="17" customFormat="1" ht="21.75" customHeight="1" x14ac:dyDescent="0.15">
      <c r="A47" s="10">
        <v>45</v>
      </c>
      <c r="B47" s="16" t="s">
        <v>10</v>
      </c>
      <c r="C47" s="15"/>
      <c r="D47" s="15"/>
      <c r="E47" s="15" t="str">
        <f>"20200700501"</f>
        <v>20200700501</v>
      </c>
      <c r="F47" s="5">
        <v>67.599999999999994</v>
      </c>
      <c r="G47" s="5">
        <v>68.5</v>
      </c>
      <c r="H47" s="5">
        <f t="shared" si="2"/>
        <v>136.1</v>
      </c>
      <c r="I47" s="14">
        <v>74.400000000000006</v>
      </c>
      <c r="J47" s="23">
        <f t="shared" si="3"/>
        <v>70.59</v>
      </c>
      <c r="K47" s="19"/>
    </row>
    <row r="48" spans="1:11" s="17" customFormat="1" ht="21.75" customHeight="1" x14ac:dyDescent="0.15">
      <c r="A48" s="10">
        <v>46</v>
      </c>
      <c r="B48" s="16" t="s">
        <v>10</v>
      </c>
      <c r="C48" s="15"/>
      <c r="D48" s="15"/>
      <c r="E48" s="15" t="str">
        <f>"20200700504"</f>
        <v>20200700504</v>
      </c>
      <c r="F48" s="5">
        <v>57.2</v>
      </c>
      <c r="G48" s="5">
        <v>71.5</v>
      </c>
      <c r="H48" s="5">
        <f t="shared" si="2"/>
        <v>128.69999999999999</v>
      </c>
      <c r="I48" s="14">
        <v>76</v>
      </c>
      <c r="J48" s="23">
        <f t="shared" si="3"/>
        <v>69.009999999999991</v>
      </c>
      <c r="K48" s="19"/>
    </row>
    <row r="49" spans="1:11" s="12" customFormat="1" ht="21.75" customHeight="1" x14ac:dyDescent="0.15">
      <c r="A49" s="10">
        <v>47</v>
      </c>
      <c r="B49" s="11" t="s">
        <v>43</v>
      </c>
      <c r="C49" s="10" t="str">
        <f>"苏陆"</f>
        <v>苏陆</v>
      </c>
      <c r="D49" s="10" t="str">
        <f>"女"</f>
        <v>女</v>
      </c>
      <c r="E49" s="10" t="str">
        <f>"20200700516"</f>
        <v>20200700516</v>
      </c>
      <c r="F49" s="7">
        <v>55.7</v>
      </c>
      <c r="G49" s="7">
        <v>67.5</v>
      </c>
      <c r="H49" s="7">
        <f t="shared" si="2"/>
        <v>123.2</v>
      </c>
      <c r="I49" s="4">
        <v>76.8</v>
      </c>
      <c r="J49" s="22">
        <f t="shared" si="3"/>
        <v>67.680000000000007</v>
      </c>
      <c r="K49" s="20"/>
    </row>
    <row r="50" spans="1:11" s="17" customFormat="1" ht="21.75" customHeight="1" x14ac:dyDescent="0.15">
      <c r="A50" s="10">
        <v>48</v>
      </c>
      <c r="B50" s="16" t="s">
        <v>43</v>
      </c>
      <c r="C50" s="15"/>
      <c r="D50" s="15"/>
      <c r="E50" s="15" t="str">
        <f>"20200700517"</f>
        <v>20200700517</v>
      </c>
      <c r="F50" s="5">
        <v>52.6</v>
      </c>
      <c r="G50" s="5">
        <v>70</v>
      </c>
      <c r="H50" s="5">
        <f t="shared" si="2"/>
        <v>122.6</v>
      </c>
      <c r="I50" s="14">
        <v>65</v>
      </c>
      <c r="J50" s="23">
        <f t="shared" si="3"/>
        <v>62.779999999999994</v>
      </c>
      <c r="K50" s="19"/>
    </row>
    <row r="51" spans="1:11" s="12" customFormat="1" ht="21.75" customHeight="1" x14ac:dyDescent="0.15">
      <c r="A51" s="10">
        <v>49</v>
      </c>
      <c r="B51" s="11" t="s">
        <v>39</v>
      </c>
      <c r="C51" s="10" t="str">
        <f>"孙旭宇"</f>
        <v>孙旭宇</v>
      </c>
      <c r="D51" s="10" t="str">
        <f>"男"</f>
        <v>男</v>
      </c>
      <c r="E51" s="10" t="str">
        <f>"20200700518"</f>
        <v>20200700518</v>
      </c>
      <c r="F51" s="7">
        <v>70.5</v>
      </c>
      <c r="G51" s="7">
        <v>69</v>
      </c>
      <c r="H51" s="7">
        <f t="shared" si="2"/>
        <v>139.5</v>
      </c>
      <c r="I51" s="4">
        <v>76.599999999999994</v>
      </c>
      <c r="J51" s="22">
        <f t="shared" si="3"/>
        <v>72.490000000000009</v>
      </c>
      <c r="K51" s="20"/>
    </row>
    <row r="52" spans="1:11" s="17" customFormat="1" ht="21.75" customHeight="1" x14ac:dyDescent="0.15">
      <c r="A52" s="10">
        <v>50</v>
      </c>
      <c r="B52" s="16" t="s">
        <v>39</v>
      </c>
      <c r="C52" s="15"/>
      <c r="D52" s="15"/>
      <c r="E52" s="15" t="str">
        <f>"20200700519"</f>
        <v>20200700519</v>
      </c>
      <c r="F52" s="5">
        <v>53.2</v>
      </c>
      <c r="G52" s="5">
        <v>70.5</v>
      </c>
      <c r="H52" s="5">
        <f t="shared" si="2"/>
        <v>123.7</v>
      </c>
      <c r="I52" s="14">
        <v>77.8</v>
      </c>
      <c r="J52" s="23">
        <f t="shared" si="3"/>
        <v>68.23</v>
      </c>
      <c r="K52" s="19"/>
    </row>
    <row r="53" spans="1:11" s="12" customFormat="1" ht="21.75" customHeight="1" x14ac:dyDescent="0.15">
      <c r="A53" s="10">
        <v>51</v>
      </c>
      <c r="B53" s="11" t="s">
        <v>25</v>
      </c>
      <c r="C53" s="10" t="str">
        <f>"徐新新"</f>
        <v>徐新新</v>
      </c>
      <c r="D53" s="10" t="str">
        <f>"男"</f>
        <v>男</v>
      </c>
      <c r="E53" s="10" t="str">
        <f>"20200700520"</f>
        <v>20200700520</v>
      </c>
      <c r="F53" s="7">
        <v>54.9</v>
      </c>
      <c r="G53" s="7">
        <v>74.5</v>
      </c>
      <c r="H53" s="7">
        <f t="shared" si="2"/>
        <v>129.4</v>
      </c>
      <c r="I53" s="4">
        <v>81</v>
      </c>
      <c r="J53" s="22">
        <f t="shared" si="3"/>
        <v>71.22</v>
      </c>
      <c r="K53" s="20"/>
    </row>
    <row r="54" spans="1:11" s="12" customFormat="1" ht="21.75" customHeight="1" x14ac:dyDescent="0.15">
      <c r="A54" s="10">
        <v>52</v>
      </c>
      <c r="B54" s="11" t="s">
        <v>25</v>
      </c>
      <c r="C54" s="10" t="str">
        <f>"邓飞"</f>
        <v>邓飞</v>
      </c>
      <c r="D54" s="10" t="str">
        <f>"男"</f>
        <v>男</v>
      </c>
      <c r="E54" s="10" t="str">
        <f>"20200700523"</f>
        <v>20200700523</v>
      </c>
      <c r="F54" s="7">
        <v>65.900000000000006</v>
      </c>
      <c r="G54" s="7">
        <v>73</v>
      </c>
      <c r="H54" s="7">
        <f t="shared" si="2"/>
        <v>138.9</v>
      </c>
      <c r="I54" s="4">
        <v>73.2</v>
      </c>
      <c r="J54" s="22">
        <f t="shared" si="3"/>
        <v>70.95</v>
      </c>
      <c r="K54" s="20"/>
    </row>
    <row r="55" spans="1:11" s="12" customFormat="1" ht="21.75" customHeight="1" x14ac:dyDescent="0.15">
      <c r="A55" s="10">
        <v>53</v>
      </c>
      <c r="B55" s="11" t="s">
        <v>25</v>
      </c>
      <c r="C55" s="10" t="str">
        <f>"崔巍"</f>
        <v>崔巍</v>
      </c>
      <c r="D55" s="10" t="str">
        <f>"男"</f>
        <v>男</v>
      </c>
      <c r="E55" s="10" t="str">
        <f>"20200700521"</f>
        <v>20200700521</v>
      </c>
      <c r="F55" s="7">
        <v>60.4</v>
      </c>
      <c r="G55" s="7">
        <v>70.5</v>
      </c>
      <c r="H55" s="7">
        <f t="shared" si="2"/>
        <v>130.9</v>
      </c>
      <c r="I55" s="4">
        <v>76.400000000000006</v>
      </c>
      <c r="J55" s="22">
        <f t="shared" si="3"/>
        <v>69.830000000000013</v>
      </c>
      <c r="K55" s="20"/>
    </row>
    <row r="56" spans="1:11" s="17" customFormat="1" ht="21.75" customHeight="1" x14ac:dyDescent="0.15">
      <c r="A56" s="10">
        <v>54</v>
      </c>
      <c r="B56" s="16" t="s">
        <v>25</v>
      </c>
      <c r="C56" s="15"/>
      <c r="D56" s="15"/>
      <c r="E56" s="15" t="str">
        <f>"20200700522"</f>
        <v>20200700522</v>
      </c>
      <c r="F56" s="5">
        <v>48.1</v>
      </c>
      <c r="G56" s="5">
        <v>66.5</v>
      </c>
      <c r="H56" s="5">
        <f t="shared" si="2"/>
        <v>114.6</v>
      </c>
      <c r="I56" s="14">
        <v>54</v>
      </c>
      <c r="J56" s="23">
        <f t="shared" si="3"/>
        <v>55.98</v>
      </c>
      <c r="K56" s="19"/>
    </row>
    <row r="57" spans="1:11" s="17" customFormat="1" ht="21.75" customHeight="1" x14ac:dyDescent="0.15">
      <c r="A57" s="10">
        <v>55</v>
      </c>
      <c r="B57" s="16" t="s">
        <v>38</v>
      </c>
      <c r="C57" s="15"/>
      <c r="D57" s="15"/>
      <c r="E57" s="15" t="str">
        <f>"20200700528"</f>
        <v>20200700528</v>
      </c>
      <c r="F57" s="5">
        <v>53.9</v>
      </c>
      <c r="G57" s="5">
        <v>66.5</v>
      </c>
      <c r="H57" s="5">
        <f t="shared" si="2"/>
        <v>120.4</v>
      </c>
      <c r="I57" s="14">
        <v>68.599999999999994</v>
      </c>
      <c r="J57" s="23">
        <f t="shared" si="3"/>
        <v>63.559999999999995</v>
      </c>
      <c r="K57" s="19"/>
    </row>
    <row r="58" spans="1:11" s="17" customFormat="1" ht="21.75" customHeight="1" x14ac:dyDescent="0.15">
      <c r="A58" s="10">
        <v>56</v>
      </c>
      <c r="B58" s="16" t="s">
        <v>38</v>
      </c>
      <c r="C58" s="15"/>
      <c r="D58" s="15"/>
      <c r="E58" s="15" t="str">
        <f>"20200700527"</f>
        <v>20200700527</v>
      </c>
      <c r="F58" s="5">
        <v>65.099999999999994</v>
      </c>
      <c r="G58" s="5">
        <v>75.5</v>
      </c>
      <c r="H58" s="5">
        <f t="shared" si="2"/>
        <v>140.6</v>
      </c>
      <c r="I58" s="14">
        <v>0</v>
      </c>
      <c r="J58" s="23">
        <f t="shared" si="3"/>
        <v>42.18</v>
      </c>
      <c r="K58" s="26" t="s">
        <v>58</v>
      </c>
    </row>
    <row r="59" spans="1:11" s="12" customFormat="1" ht="21.75" customHeight="1" x14ac:dyDescent="0.15">
      <c r="A59" s="10">
        <v>57</v>
      </c>
      <c r="B59" s="11" t="s">
        <v>40</v>
      </c>
      <c r="C59" s="10" t="str">
        <f>"陈斌"</f>
        <v>陈斌</v>
      </c>
      <c r="D59" s="10" t="str">
        <f>"男"</f>
        <v>男</v>
      </c>
      <c r="E59" s="10" t="str">
        <f>"20200700530"</f>
        <v>20200700530</v>
      </c>
      <c r="F59" s="7">
        <v>69.7</v>
      </c>
      <c r="G59" s="7">
        <v>71.5</v>
      </c>
      <c r="H59" s="7">
        <f t="shared" si="2"/>
        <v>141.19999999999999</v>
      </c>
      <c r="I59" s="4">
        <v>78</v>
      </c>
      <c r="J59" s="22">
        <f t="shared" si="3"/>
        <v>73.56</v>
      </c>
      <c r="K59" s="20"/>
    </row>
    <row r="60" spans="1:11" s="17" customFormat="1" ht="21.75" customHeight="1" x14ac:dyDescent="0.15">
      <c r="A60" s="10">
        <v>58</v>
      </c>
      <c r="B60" s="16" t="s">
        <v>40</v>
      </c>
      <c r="C60" s="15"/>
      <c r="D60" s="15"/>
      <c r="E60" s="15" t="str">
        <f>"20200700602"</f>
        <v>20200700602</v>
      </c>
      <c r="F60" s="5">
        <v>59.8</v>
      </c>
      <c r="G60" s="5">
        <v>69.5</v>
      </c>
      <c r="H60" s="5">
        <f t="shared" si="2"/>
        <v>129.30000000000001</v>
      </c>
      <c r="I60" s="14">
        <v>76.599999999999994</v>
      </c>
      <c r="J60" s="23">
        <f t="shared" si="3"/>
        <v>69.430000000000007</v>
      </c>
      <c r="K60" s="19"/>
    </row>
    <row r="61" spans="1:11" s="17" customFormat="1" ht="21.75" customHeight="1" x14ac:dyDescent="0.15">
      <c r="A61" s="10">
        <v>59</v>
      </c>
      <c r="B61" s="16" t="s">
        <v>40</v>
      </c>
      <c r="C61" s="15"/>
      <c r="D61" s="15"/>
      <c r="E61" s="15" t="str">
        <f>"20200700601"</f>
        <v>20200700601</v>
      </c>
      <c r="F61" s="5">
        <v>47.2</v>
      </c>
      <c r="G61" s="5">
        <v>72</v>
      </c>
      <c r="H61" s="5">
        <f t="shared" si="2"/>
        <v>119.2</v>
      </c>
      <c r="I61" s="14">
        <v>72.599999999999994</v>
      </c>
      <c r="J61" s="23">
        <f t="shared" si="3"/>
        <v>64.8</v>
      </c>
      <c r="K61" s="19"/>
    </row>
    <row r="62" spans="1:11" s="12" customFormat="1" ht="21.75" customHeight="1" x14ac:dyDescent="0.15">
      <c r="A62" s="10">
        <v>60</v>
      </c>
      <c r="B62" s="11" t="s">
        <v>29</v>
      </c>
      <c r="C62" s="10" t="str">
        <f>"尹寒蕊"</f>
        <v>尹寒蕊</v>
      </c>
      <c r="D62" s="10" t="str">
        <f>"女"</f>
        <v>女</v>
      </c>
      <c r="E62" s="10" t="str">
        <f>"20200700606"</f>
        <v>20200700606</v>
      </c>
      <c r="F62" s="7">
        <v>55.3</v>
      </c>
      <c r="G62" s="7">
        <v>70</v>
      </c>
      <c r="H62" s="7">
        <f t="shared" ref="H62:H93" si="4">SUM(F62:G62)</f>
        <v>125.3</v>
      </c>
      <c r="I62" s="4">
        <v>80</v>
      </c>
      <c r="J62" s="22">
        <f t="shared" ref="J62:J93" si="5">H62/2*0.6+I62*0.4</f>
        <v>69.59</v>
      </c>
      <c r="K62" s="20"/>
    </row>
    <row r="63" spans="1:11" s="17" customFormat="1" ht="21.75" customHeight="1" x14ac:dyDescent="0.15">
      <c r="A63" s="10">
        <v>61</v>
      </c>
      <c r="B63" s="16" t="s">
        <v>29</v>
      </c>
      <c r="C63" s="15"/>
      <c r="D63" s="15"/>
      <c r="E63" s="15" t="str">
        <f>"20200700605"</f>
        <v>20200700605</v>
      </c>
      <c r="F63" s="5">
        <v>55.6</v>
      </c>
      <c r="G63" s="5">
        <v>68</v>
      </c>
      <c r="H63" s="5">
        <f t="shared" si="4"/>
        <v>123.6</v>
      </c>
      <c r="I63" s="14">
        <v>75.8</v>
      </c>
      <c r="J63" s="23">
        <f t="shared" si="5"/>
        <v>67.400000000000006</v>
      </c>
      <c r="K63" s="19"/>
    </row>
    <row r="64" spans="1:11" s="17" customFormat="1" ht="21.75" customHeight="1" x14ac:dyDescent="0.15">
      <c r="A64" s="10">
        <v>62</v>
      </c>
      <c r="B64" s="16" t="s">
        <v>29</v>
      </c>
      <c r="C64" s="15"/>
      <c r="D64" s="15"/>
      <c r="E64" s="15" t="str">
        <f>"20200700604"</f>
        <v>20200700604</v>
      </c>
      <c r="F64" s="5">
        <v>53</v>
      </c>
      <c r="G64" s="5">
        <v>71</v>
      </c>
      <c r="H64" s="5">
        <f t="shared" si="4"/>
        <v>124</v>
      </c>
      <c r="I64" s="14">
        <v>73.599999999999994</v>
      </c>
      <c r="J64" s="23">
        <f t="shared" si="5"/>
        <v>66.639999999999986</v>
      </c>
      <c r="K64" s="19"/>
    </row>
    <row r="65" spans="1:11" s="12" customFormat="1" ht="21.75" customHeight="1" x14ac:dyDescent="0.15">
      <c r="A65" s="10">
        <v>63</v>
      </c>
      <c r="B65" s="11" t="s">
        <v>7</v>
      </c>
      <c r="C65" s="10" t="str">
        <f>"熊国玉"</f>
        <v>熊国玉</v>
      </c>
      <c r="D65" s="10" t="str">
        <f>"男"</f>
        <v>男</v>
      </c>
      <c r="E65" s="10" t="str">
        <f>"20200700625"</f>
        <v>20200700625</v>
      </c>
      <c r="F65" s="7">
        <v>75.8</v>
      </c>
      <c r="G65" s="7">
        <v>67.5</v>
      </c>
      <c r="H65" s="7">
        <f t="shared" si="4"/>
        <v>143.30000000000001</v>
      </c>
      <c r="I65" s="4">
        <v>77.599999999999994</v>
      </c>
      <c r="J65" s="22">
        <f t="shared" si="5"/>
        <v>74.03</v>
      </c>
      <c r="K65" s="20"/>
    </row>
    <row r="66" spans="1:11" s="12" customFormat="1" ht="21.75" customHeight="1" x14ac:dyDescent="0.15">
      <c r="A66" s="10">
        <v>64</v>
      </c>
      <c r="B66" s="11" t="s">
        <v>7</v>
      </c>
      <c r="C66" s="10" t="str">
        <f>"丁敏诺"</f>
        <v>丁敏诺</v>
      </c>
      <c r="D66" s="10" t="str">
        <f>"男"</f>
        <v>男</v>
      </c>
      <c r="E66" s="10" t="str">
        <f>"20200700607"</f>
        <v>20200700607</v>
      </c>
      <c r="F66" s="7">
        <v>65.400000000000006</v>
      </c>
      <c r="G66" s="7">
        <v>69</v>
      </c>
      <c r="H66" s="7">
        <f t="shared" si="4"/>
        <v>134.4</v>
      </c>
      <c r="I66" s="4">
        <v>75</v>
      </c>
      <c r="J66" s="22">
        <f t="shared" si="5"/>
        <v>70.319999999999993</v>
      </c>
      <c r="K66" s="20"/>
    </row>
    <row r="67" spans="1:11" s="17" customFormat="1" ht="21.75" customHeight="1" x14ac:dyDescent="0.15">
      <c r="A67" s="10">
        <v>65</v>
      </c>
      <c r="B67" s="16" t="s">
        <v>7</v>
      </c>
      <c r="C67" s="15"/>
      <c r="D67" s="15"/>
      <c r="E67" s="15" t="str">
        <f>"20200700609"</f>
        <v>20200700609</v>
      </c>
      <c r="F67" s="5">
        <v>59.5</v>
      </c>
      <c r="G67" s="5">
        <v>71</v>
      </c>
      <c r="H67" s="5">
        <f t="shared" si="4"/>
        <v>130.5</v>
      </c>
      <c r="I67" s="14">
        <v>75.2</v>
      </c>
      <c r="J67" s="23">
        <f t="shared" si="5"/>
        <v>69.23</v>
      </c>
      <c r="K67" s="19"/>
    </row>
    <row r="68" spans="1:11" s="17" customFormat="1" ht="21.75" customHeight="1" x14ac:dyDescent="0.15">
      <c r="A68" s="10">
        <v>66</v>
      </c>
      <c r="B68" s="16" t="s">
        <v>7</v>
      </c>
      <c r="C68" s="15"/>
      <c r="D68" s="15"/>
      <c r="E68" s="15" t="str">
        <f>"20200700623"</f>
        <v>20200700623</v>
      </c>
      <c r="F68" s="5">
        <v>61.4</v>
      </c>
      <c r="G68" s="5">
        <v>70.5</v>
      </c>
      <c r="H68" s="5">
        <f t="shared" si="4"/>
        <v>131.9</v>
      </c>
      <c r="I68" s="14">
        <v>73.400000000000006</v>
      </c>
      <c r="J68" s="23">
        <f t="shared" si="5"/>
        <v>68.930000000000007</v>
      </c>
      <c r="K68" s="19"/>
    </row>
    <row r="69" spans="1:11" s="17" customFormat="1" ht="21.75" customHeight="1" x14ac:dyDescent="0.15">
      <c r="A69" s="10">
        <v>67</v>
      </c>
      <c r="B69" s="16" t="s">
        <v>7</v>
      </c>
      <c r="C69" s="15"/>
      <c r="D69" s="15"/>
      <c r="E69" s="15" t="str">
        <f>"20200700610"</f>
        <v>20200700610</v>
      </c>
      <c r="F69" s="5">
        <v>65.900000000000006</v>
      </c>
      <c r="G69" s="5">
        <v>62</v>
      </c>
      <c r="H69" s="5">
        <f t="shared" si="4"/>
        <v>127.9</v>
      </c>
      <c r="I69" s="14">
        <v>75.400000000000006</v>
      </c>
      <c r="J69" s="23">
        <f t="shared" si="5"/>
        <v>68.53</v>
      </c>
      <c r="K69" s="19"/>
    </row>
    <row r="70" spans="1:11" s="17" customFormat="1" ht="21.75" customHeight="1" x14ac:dyDescent="0.15">
      <c r="A70" s="10">
        <v>68</v>
      </c>
      <c r="B70" s="16" t="s">
        <v>7</v>
      </c>
      <c r="C70" s="15"/>
      <c r="D70" s="15"/>
      <c r="E70" s="15" t="str">
        <f>"20200700608"</f>
        <v>20200700608</v>
      </c>
      <c r="F70" s="5">
        <v>58.2</v>
      </c>
      <c r="G70" s="5">
        <v>71</v>
      </c>
      <c r="H70" s="5">
        <f t="shared" si="4"/>
        <v>129.19999999999999</v>
      </c>
      <c r="I70" s="14">
        <v>72.2</v>
      </c>
      <c r="J70" s="23">
        <f t="shared" si="5"/>
        <v>67.64</v>
      </c>
      <c r="K70" s="19"/>
    </row>
    <row r="71" spans="1:11" s="12" customFormat="1" ht="21.75" customHeight="1" x14ac:dyDescent="0.15">
      <c r="A71" s="10">
        <v>69</v>
      </c>
      <c r="B71" s="11" t="s">
        <v>41</v>
      </c>
      <c r="C71" s="10" t="str">
        <f>"涂雪洁"</f>
        <v>涂雪洁</v>
      </c>
      <c r="D71" s="10" t="str">
        <f>"女"</f>
        <v>女</v>
      </c>
      <c r="E71" s="10" t="str">
        <f>"20200700627"</f>
        <v>20200700627</v>
      </c>
      <c r="F71" s="7">
        <v>61.1</v>
      </c>
      <c r="G71" s="7">
        <v>75.5</v>
      </c>
      <c r="H71" s="7">
        <f t="shared" si="4"/>
        <v>136.6</v>
      </c>
      <c r="I71" s="4">
        <v>76.8</v>
      </c>
      <c r="J71" s="22">
        <f t="shared" si="5"/>
        <v>71.699999999999989</v>
      </c>
      <c r="K71" s="20"/>
    </row>
    <row r="72" spans="1:11" s="17" customFormat="1" ht="21.75" customHeight="1" x14ac:dyDescent="0.15">
      <c r="A72" s="10">
        <v>70</v>
      </c>
      <c r="B72" s="16" t="s">
        <v>41</v>
      </c>
      <c r="C72" s="15"/>
      <c r="D72" s="15"/>
      <c r="E72" s="15" t="str">
        <f>"20200700628"</f>
        <v>20200700628</v>
      </c>
      <c r="F72" s="5">
        <v>56.5</v>
      </c>
      <c r="G72" s="5">
        <v>73</v>
      </c>
      <c r="H72" s="5">
        <f t="shared" si="4"/>
        <v>129.5</v>
      </c>
      <c r="I72" s="14">
        <v>78.400000000000006</v>
      </c>
      <c r="J72" s="23">
        <f t="shared" si="5"/>
        <v>70.210000000000008</v>
      </c>
      <c r="K72" s="19"/>
    </row>
    <row r="73" spans="1:11" s="17" customFormat="1" ht="21.75" customHeight="1" x14ac:dyDescent="0.15">
      <c r="A73" s="10">
        <v>71</v>
      </c>
      <c r="B73" s="16" t="s">
        <v>41</v>
      </c>
      <c r="C73" s="15"/>
      <c r="D73" s="15"/>
      <c r="E73" s="15" t="str">
        <f>"20200700629"</f>
        <v>20200700629</v>
      </c>
      <c r="F73" s="5">
        <v>47.3</v>
      </c>
      <c r="G73" s="5">
        <v>76.5</v>
      </c>
      <c r="H73" s="5">
        <f t="shared" si="4"/>
        <v>123.8</v>
      </c>
      <c r="I73" s="14">
        <v>76.2</v>
      </c>
      <c r="J73" s="23">
        <f t="shared" si="5"/>
        <v>67.62</v>
      </c>
      <c r="K73" s="19"/>
    </row>
    <row r="74" spans="1:11" s="12" customFormat="1" ht="21.75" customHeight="1" x14ac:dyDescent="0.15">
      <c r="A74" s="10">
        <v>72</v>
      </c>
      <c r="B74" s="11" t="s">
        <v>33</v>
      </c>
      <c r="C74" s="10" t="str">
        <f>"张书航"</f>
        <v>张书航</v>
      </c>
      <c r="D74" s="10" t="str">
        <f>"男"</f>
        <v>男</v>
      </c>
      <c r="E74" s="10" t="str">
        <f>"20200700701"</f>
        <v>20200700701</v>
      </c>
      <c r="F74" s="7">
        <v>41.3</v>
      </c>
      <c r="G74" s="7">
        <v>70.5</v>
      </c>
      <c r="H74" s="7">
        <f t="shared" si="4"/>
        <v>111.8</v>
      </c>
      <c r="I74" s="4">
        <v>77.599999999999994</v>
      </c>
      <c r="J74" s="22">
        <f t="shared" si="5"/>
        <v>64.58</v>
      </c>
      <c r="K74" s="20"/>
    </row>
    <row r="75" spans="1:11" s="17" customFormat="1" ht="21.75" customHeight="1" x14ac:dyDescent="0.15">
      <c r="A75" s="10">
        <v>73</v>
      </c>
      <c r="B75" s="16" t="s">
        <v>33</v>
      </c>
      <c r="C75" s="15"/>
      <c r="D75" s="15"/>
      <c r="E75" s="15" t="str">
        <f>"20200700630"</f>
        <v>20200700630</v>
      </c>
      <c r="F75" s="5">
        <v>44.6</v>
      </c>
      <c r="G75" s="5">
        <v>64.5</v>
      </c>
      <c r="H75" s="5">
        <f t="shared" si="4"/>
        <v>109.1</v>
      </c>
      <c r="I75" s="14">
        <v>73.2</v>
      </c>
      <c r="J75" s="23">
        <f t="shared" si="5"/>
        <v>62.01</v>
      </c>
      <c r="K75" s="19"/>
    </row>
    <row r="76" spans="1:11" s="12" customFormat="1" ht="21.75" customHeight="1" x14ac:dyDescent="0.15">
      <c r="A76" s="10">
        <v>74</v>
      </c>
      <c r="B76" s="11" t="s">
        <v>21</v>
      </c>
      <c r="C76" s="10" t="str">
        <f>"王姗姗"</f>
        <v>王姗姗</v>
      </c>
      <c r="D76" s="10" t="str">
        <f>"女"</f>
        <v>女</v>
      </c>
      <c r="E76" s="10" t="str">
        <f>"20200700707"</f>
        <v>20200700707</v>
      </c>
      <c r="F76" s="7">
        <v>44.2</v>
      </c>
      <c r="G76" s="7">
        <v>73.5</v>
      </c>
      <c r="H76" s="7">
        <f t="shared" si="4"/>
        <v>117.7</v>
      </c>
      <c r="I76" s="4">
        <v>77.599999999999994</v>
      </c>
      <c r="J76" s="22">
        <f t="shared" si="5"/>
        <v>66.349999999999994</v>
      </c>
      <c r="K76" s="20"/>
    </row>
    <row r="77" spans="1:11" s="17" customFormat="1" ht="21.75" customHeight="1" x14ac:dyDescent="0.15">
      <c r="A77" s="10">
        <v>75</v>
      </c>
      <c r="B77" s="16" t="s">
        <v>21</v>
      </c>
      <c r="C77" s="15"/>
      <c r="D77" s="15"/>
      <c r="E77" s="15" t="str">
        <f>"20200700704"</f>
        <v>20200700704</v>
      </c>
      <c r="F77" s="5">
        <v>51.5</v>
      </c>
      <c r="G77" s="5">
        <v>68.5</v>
      </c>
      <c r="H77" s="5">
        <f t="shared" si="4"/>
        <v>120</v>
      </c>
      <c r="I77" s="14">
        <v>74.400000000000006</v>
      </c>
      <c r="J77" s="23">
        <f t="shared" si="5"/>
        <v>65.760000000000005</v>
      </c>
      <c r="K77" s="19"/>
    </row>
    <row r="78" spans="1:11" s="17" customFormat="1" ht="21.75" customHeight="1" x14ac:dyDescent="0.15">
      <c r="A78" s="10">
        <v>76</v>
      </c>
      <c r="B78" s="16" t="s">
        <v>21</v>
      </c>
      <c r="C78" s="15"/>
      <c r="D78" s="15"/>
      <c r="E78" s="15" t="str">
        <f>"20200700706"</f>
        <v>20200700706</v>
      </c>
      <c r="F78" s="5">
        <v>43.4</v>
      </c>
      <c r="G78" s="5">
        <v>69.5</v>
      </c>
      <c r="H78" s="5">
        <f t="shared" si="4"/>
        <v>112.9</v>
      </c>
      <c r="I78" s="14">
        <v>73.8</v>
      </c>
      <c r="J78" s="23">
        <f t="shared" si="5"/>
        <v>63.39</v>
      </c>
      <c r="K78" s="19"/>
    </row>
    <row r="79" spans="1:11" s="12" customFormat="1" ht="21.75" customHeight="1" x14ac:dyDescent="0.15">
      <c r="A79" s="10">
        <v>77</v>
      </c>
      <c r="B79" s="11" t="s">
        <v>30</v>
      </c>
      <c r="C79" s="10" t="str">
        <f>"印博宇"</f>
        <v>印博宇</v>
      </c>
      <c r="D79" s="10" t="str">
        <f>"男"</f>
        <v>男</v>
      </c>
      <c r="E79" s="10" t="str">
        <f>"20200700712"</f>
        <v>20200700712</v>
      </c>
      <c r="F79" s="7">
        <v>68.3</v>
      </c>
      <c r="G79" s="7">
        <v>73.5</v>
      </c>
      <c r="H79" s="7">
        <f t="shared" si="4"/>
        <v>141.80000000000001</v>
      </c>
      <c r="I79" s="4">
        <v>78.400000000000006</v>
      </c>
      <c r="J79" s="22">
        <f t="shared" si="5"/>
        <v>73.900000000000006</v>
      </c>
      <c r="K79" s="20"/>
    </row>
    <row r="80" spans="1:11" s="17" customFormat="1" ht="21.75" customHeight="1" x14ac:dyDescent="0.15">
      <c r="A80" s="10">
        <v>78</v>
      </c>
      <c r="B80" s="16" t="s">
        <v>30</v>
      </c>
      <c r="C80" s="15"/>
      <c r="D80" s="15"/>
      <c r="E80" s="15" t="str">
        <f>"20200700710"</f>
        <v>20200700710</v>
      </c>
      <c r="F80" s="5">
        <v>45.2</v>
      </c>
      <c r="G80" s="5">
        <v>69</v>
      </c>
      <c r="H80" s="5">
        <f t="shared" si="4"/>
        <v>114.2</v>
      </c>
      <c r="I80" s="14">
        <v>68.2</v>
      </c>
      <c r="J80" s="23">
        <f t="shared" si="5"/>
        <v>61.54</v>
      </c>
      <c r="K80" s="19"/>
    </row>
    <row r="81" spans="1:11" s="12" customFormat="1" ht="21.75" customHeight="1" x14ac:dyDescent="0.15">
      <c r="A81" s="10">
        <v>79</v>
      </c>
      <c r="B81" s="11" t="s">
        <v>56</v>
      </c>
      <c r="C81" s="10" t="str">
        <f>"贺建志"</f>
        <v>贺建志</v>
      </c>
      <c r="D81" s="10" t="str">
        <f>"男"</f>
        <v>男</v>
      </c>
      <c r="E81" s="10" t="str">
        <f>"20200700714"</f>
        <v>20200700714</v>
      </c>
      <c r="F81" s="7">
        <v>71.3</v>
      </c>
      <c r="G81" s="7">
        <v>71</v>
      </c>
      <c r="H81" s="7">
        <f t="shared" si="4"/>
        <v>142.30000000000001</v>
      </c>
      <c r="I81" s="4">
        <v>78.2</v>
      </c>
      <c r="J81" s="22">
        <f t="shared" si="5"/>
        <v>73.97</v>
      </c>
      <c r="K81" s="20"/>
    </row>
    <row r="82" spans="1:11" s="17" customFormat="1" ht="19.5" customHeight="1" x14ac:dyDescent="0.15">
      <c r="A82" s="10">
        <v>80</v>
      </c>
      <c r="B82" s="16" t="s">
        <v>27</v>
      </c>
      <c r="C82" s="15"/>
      <c r="D82" s="15"/>
      <c r="E82" s="15" t="str">
        <f>"20200700713"</f>
        <v>20200700713</v>
      </c>
      <c r="F82" s="5">
        <v>68.8</v>
      </c>
      <c r="G82" s="5">
        <v>68.5</v>
      </c>
      <c r="H82" s="5">
        <f t="shared" si="4"/>
        <v>137.30000000000001</v>
      </c>
      <c r="I82" s="14">
        <v>77.2</v>
      </c>
      <c r="J82" s="23">
        <f t="shared" si="5"/>
        <v>72.070000000000007</v>
      </c>
      <c r="K82" s="19"/>
    </row>
    <row r="83" spans="1:11" s="17" customFormat="1" ht="21.75" customHeight="1" x14ac:dyDescent="0.15">
      <c r="A83" s="10">
        <v>81</v>
      </c>
      <c r="B83" s="16" t="s">
        <v>27</v>
      </c>
      <c r="C83" s="15"/>
      <c r="D83" s="15"/>
      <c r="E83" s="15" t="str">
        <f>"20200700715"</f>
        <v>20200700715</v>
      </c>
      <c r="F83" s="5">
        <v>60</v>
      </c>
      <c r="G83" s="5">
        <v>70.5</v>
      </c>
      <c r="H83" s="5">
        <f t="shared" si="4"/>
        <v>130.5</v>
      </c>
      <c r="I83" s="14">
        <v>75.2</v>
      </c>
      <c r="J83" s="23">
        <f t="shared" si="5"/>
        <v>69.23</v>
      </c>
      <c r="K83" s="19"/>
    </row>
    <row r="84" spans="1:11" s="12" customFormat="1" ht="21.75" customHeight="1" x14ac:dyDescent="0.15">
      <c r="A84" s="10">
        <v>82</v>
      </c>
      <c r="B84" s="11" t="s">
        <v>20</v>
      </c>
      <c r="C84" s="10" t="str">
        <f>"曹双顺"</f>
        <v>曹双顺</v>
      </c>
      <c r="D84" s="10" t="str">
        <f>"男"</f>
        <v>男</v>
      </c>
      <c r="E84" s="10" t="str">
        <f>"20200700716"</f>
        <v>20200700716</v>
      </c>
      <c r="F84" s="7">
        <v>60.4</v>
      </c>
      <c r="G84" s="7">
        <v>68</v>
      </c>
      <c r="H84" s="7">
        <f t="shared" si="4"/>
        <v>128.4</v>
      </c>
      <c r="I84" s="4">
        <v>76.400000000000006</v>
      </c>
      <c r="J84" s="22">
        <f t="shared" si="5"/>
        <v>69.080000000000013</v>
      </c>
      <c r="K84" s="20"/>
    </row>
    <row r="85" spans="1:11" s="12" customFormat="1" ht="21.75" customHeight="1" x14ac:dyDescent="0.15">
      <c r="A85" s="10">
        <v>83</v>
      </c>
      <c r="B85" s="11" t="s">
        <v>42</v>
      </c>
      <c r="C85" s="10" t="str">
        <f>"江小草"</f>
        <v>江小草</v>
      </c>
      <c r="D85" s="10" t="str">
        <f>"女"</f>
        <v>女</v>
      </c>
      <c r="E85" s="10" t="str">
        <f>"20200700721"</f>
        <v>20200700721</v>
      </c>
      <c r="F85" s="7">
        <v>58</v>
      </c>
      <c r="G85" s="7">
        <v>71</v>
      </c>
      <c r="H85" s="7">
        <f t="shared" si="4"/>
        <v>129</v>
      </c>
      <c r="I85" s="4">
        <v>77</v>
      </c>
      <c r="J85" s="22">
        <f t="shared" si="5"/>
        <v>69.5</v>
      </c>
      <c r="K85" s="20"/>
    </row>
    <row r="86" spans="1:11" s="17" customFormat="1" ht="21.75" customHeight="1" x14ac:dyDescent="0.15">
      <c r="A86" s="10">
        <v>84</v>
      </c>
      <c r="B86" s="16" t="s">
        <v>42</v>
      </c>
      <c r="C86" s="15"/>
      <c r="D86" s="15"/>
      <c r="E86" s="15" t="str">
        <f>"20200700720"</f>
        <v>20200700720</v>
      </c>
      <c r="F86" s="5">
        <v>52</v>
      </c>
      <c r="G86" s="5">
        <v>66</v>
      </c>
      <c r="H86" s="5">
        <f t="shared" si="4"/>
        <v>118</v>
      </c>
      <c r="I86" s="14">
        <v>65</v>
      </c>
      <c r="J86" s="23">
        <f t="shared" si="5"/>
        <v>61.4</v>
      </c>
      <c r="K86" s="19"/>
    </row>
    <row r="87" spans="1:11" s="12" customFormat="1" ht="21.75" customHeight="1" x14ac:dyDescent="0.15">
      <c r="A87" s="10">
        <v>85</v>
      </c>
      <c r="B87" s="11" t="s">
        <v>11</v>
      </c>
      <c r="C87" s="10" t="str">
        <f>"鲁帅"</f>
        <v>鲁帅</v>
      </c>
      <c r="D87" s="10" t="str">
        <f>"男"</f>
        <v>男</v>
      </c>
      <c r="E87" s="10" t="str">
        <f>"20200700726"</f>
        <v>20200700726</v>
      </c>
      <c r="F87" s="7">
        <v>59.5</v>
      </c>
      <c r="G87" s="7">
        <v>71</v>
      </c>
      <c r="H87" s="7">
        <f t="shared" si="4"/>
        <v>130.5</v>
      </c>
      <c r="I87" s="4">
        <v>77</v>
      </c>
      <c r="J87" s="22">
        <f t="shared" si="5"/>
        <v>69.95</v>
      </c>
      <c r="K87" s="20"/>
    </row>
    <row r="88" spans="1:11" s="17" customFormat="1" ht="21.75" customHeight="1" x14ac:dyDescent="0.15">
      <c r="A88" s="10">
        <v>86</v>
      </c>
      <c r="B88" s="16" t="s">
        <v>11</v>
      </c>
      <c r="C88" s="15"/>
      <c r="D88" s="15"/>
      <c r="E88" s="15" t="str">
        <f>"20200700727"</f>
        <v>20200700727</v>
      </c>
      <c r="F88" s="5">
        <v>53.8</v>
      </c>
      <c r="G88" s="5">
        <v>69</v>
      </c>
      <c r="H88" s="5">
        <f t="shared" si="4"/>
        <v>122.8</v>
      </c>
      <c r="I88" s="14">
        <v>0</v>
      </c>
      <c r="J88" s="23">
        <f t="shared" si="5"/>
        <v>36.839999999999996</v>
      </c>
      <c r="K88" s="26" t="s">
        <v>58</v>
      </c>
    </row>
    <row r="89" spans="1:11" s="12" customFormat="1" ht="21.75" customHeight="1" x14ac:dyDescent="0.15">
      <c r="A89" s="10">
        <v>87</v>
      </c>
      <c r="B89" s="11" t="s">
        <v>15</v>
      </c>
      <c r="C89" s="10" t="str">
        <f>"宫衡"</f>
        <v>宫衡</v>
      </c>
      <c r="D89" s="10" t="str">
        <f t="shared" ref="D89:D94" si="6">"男"</f>
        <v>男</v>
      </c>
      <c r="E89" s="10" t="str">
        <f>"20200700814"</f>
        <v>20200700814</v>
      </c>
      <c r="F89" s="7">
        <v>76.2</v>
      </c>
      <c r="G89" s="7">
        <v>68</v>
      </c>
      <c r="H89" s="7">
        <f t="shared" si="4"/>
        <v>144.19999999999999</v>
      </c>
      <c r="I89" s="4">
        <v>77.2</v>
      </c>
      <c r="J89" s="22">
        <f t="shared" si="5"/>
        <v>74.14</v>
      </c>
      <c r="K89" s="20"/>
    </row>
    <row r="90" spans="1:11" s="12" customFormat="1" ht="21.75" customHeight="1" x14ac:dyDescent="0.15">
      <c r="A90" s="10">
        <v>88</v>
      </c>
      <c r="B90" s="11" t="s">
        <v>15</v>
      </c>
      <c r="C90" s="10" t="str">
        <f>"李晓东"</f>
        <v>李晓东</v>
      </c>
      <c r="D90" s="10" t="str">
        <f t="shared" si="6"/>
        <v>男</v>
      </c>
      <c r="E90" s="10" t="str">
        <f>"20200700818"</f>
        <v>20200700818</v>
      </c>
      <c r="F90" s="7">
        <v>67.8</v>
      </c>
      <c r="G90" s="7">
        <v>75</v>
      </c>
      <c r="H90" s="7">
        <f t="shared" si="4"/>
        <v>142.80000000000001</v>
      </c>
      <c r="I90" s="4">
        <v>75.8</v>
      </c>
      <c r="J90" s="22">
        <f t="shared" si="5"/>
        <v>73.16</v>
      </c>
      <c r="K90" s="20"/>
    </row>
    <row r="91" spans="1:11" s="12" customFormat="1" ht="21.75" customHeight="1" x14ac:dyDescent="0.15">
      <c r="A91" s="10">
        <v>89</v>
      </c>
      <c r="B91" s="11" t="s">
        <v>15</v>
      </c>
      <c r="C91" s="10" t="str">
        <f>"王玉磊"</f>
        <v>王玉磊</v>
      </c>
      <c r="D91" s="10" t="str">
        <f t="shared" si="6"/>
        <v>男</v>
      </c>
      <c r="E91" s="10" t="str">
        <f>"20200700817"</f>
        <v>20200700817</v>
      </c>
      <c r="F91" s="7">
        <v>62.4</v>
      </c>
      <c r="G91" s="7">
        <v>73.5</v>
      </c>
      <c r="H91" s="7">
        <f t="shared" si="4"/>
        <v>135.9</v>
      </c>
      <c r="I91" s="4">
        <v>75.52</v>
      </c>
      <c r="J91" s="22">
        <f t="shared" si="5"/>
        <v>70.978000000000009</v>
      </c>
      <c r="K91" s="20"/>
    </row>
    <row r="92" spans="1:11" s="12" customFormat="1" ht="21.75" customHeight="1" x14ac:dyDescent="0.15">
      <c r="A92" s="10">
        <v>90</v>
      </c>
      <c r="B92" s="11" t="s">
        <v>15</v>
      </c>
      <c r="C92" s="10" t="str">
        <f>"陈磊"</f>
        <v>陈磊</v>
      </c>
      <c r="D92" s="10" t="str">
        <f t="shared" si="6"/>
        <v>男</v>
      </c>
      <c r="E92" s="10" t="str">
        <f>"20200700823"</f>
        <v>20200700823</v>
      </c>
      <c r="F92" s="7">
        <v>64</v>
      </c>
      <c r="G92" s="7">
        <v>71</v>
      </c>
      <c r="H92" s="7">
        <f t="shared" si="4"/>
        <v>135</v>
      </c>
      <c r="I92" s="4">
        <v>75.52</v>
      </c>
      <c r="J92" s="22">
        <f t="shared" si="5"/>
        <v>70.707999999999998</v>
      </c>
      <c r="K92" s="20"/>
    </row>
    <row r="93" spans="1:11" s="12" customFormat="1" ht="21.75" customHeight="1" x14ac:dyDescent="0.15">
      <c r="A93" s="10">
        <v>91</v>
      </c>
      <c r="B93" s="11" t="s">
        <v>15</v>
      </c>
      <c r="C93" s="10" t="str">
        <f>"程偕洛"</f>
        <v>程偕洛</v>
      </c>
      <c r="D93" s="10" t="str">
        <f t="shared" si="6"/>
        <v>男</v>
      </c>
      <c r="E93" s="10" t="str">
        <f>"20200700812"</f>
        <v>20200700812</v>
      </c>
      <c r="F93" s="7">
        <v>61.7</v>
      </c>
      <c r="G93" s="7">
        <v>73</v>
      </c>
      <c r="H93" s="7">
        <f t="shared" si="4"/>
        <v>134.69999999999999</v>
      </c>
      <c r="I93" s="4">
        <v>75.599999999999994</v>
      </c>
      <c r="J93" s="22">
        <f t="shared" si="5"/>
        <v>70.649999999999991</v>
      </c>
      <c r="K93" s="20"/>
    </row>
    <row r="94" spans="1:11" s="12" customFormat="1" ht="21.75" customHeight="1" x14ac:dyDescent="0.15">
      <c r="A94" s="10">
        <v>92</v>
      </c>
      <c r="B94" s="11" t="s">
        <v>15</v>
      </c>
      <c r="C94" s="10" t="str">
        <f>"姚景宇"</f>
        <v>姚景宇</v>
      </c>
      <c r="D94" s="10" t="str">
        <f t="shared" si="6"/>
        <v>男</v>
      </c>
      <c r="E94" s="10" t="str">
        <f>"20200700913"</f>
        <v>20200700913</v>
      </c>
      <c r="F94" s="7">
        <v>65</v>
      </c>
      <c r="G94" s="7">
        <v>72</v>
      </c>
      <c r="H94" s="7">
        <f t="shared" ref="H94:H125" si="7">SUM(F94:G94)</f>
        <v>137</v>
      </c>
      <c r="I94" s="4">
        <v>73.36</v>
      </c>
      <c r="J94" s="22">
        <f t="shared" ref="J94:J125" si="8">H94/2*0.6+I94*0.4</f>
        <v>70.444000000000003</v>
      </c>
      <c r="K94" s="20"/>
    </row>
    <row r="95" spans="1:11" s="17" customFormat="1" ht="21.75" customHeight="1" x14ac:dyDescent="0.15">
      <c r="A95" s="10">
        <v>93</v>
      </c>
      <c r="B95" s="16" t="s">
        <v>15</v>
      </c>
      <c r="C95" s="15"/>
      <c r="D95" s="15"/>
      <c r="E95" s="15" t="str">
        <f>"20200700829"</f>
        <v>20200700829</v>
      </c>
      <c r="F95" s="5">
        <v>58.7</v>
      </c>
      <c r="G95" s="5">
        <v>74.5</v>
      </c>
      <c r="H95" s="5">
        <f t="shared" si="7"/>
        <v>133.19999999999999</v>
      </c>
      <c r="I95" s="14">
        <v>74.8</v>
      </c>
      <c r="J95" s="23">
        <f t="shared" si="8"/>
        <v>69.88</v>
      </c>
      <c r="K95" s="19"/>
    </row>
    <row r="96" spans="1:11" s="17" customFormat="1" ht="21.75" customHeight="1" x14ac:dyDescent="0.15">
      <c r="A96" s="10">
        <v>94</v>
      </c>
      <c r="B96" s="16" t="s">
        <v>15</v>
      </c>
      <c r="C96" s="15"/>
      <c r="D96" s="15"/>
      <c r="E96" s="15" t="str">
        <f>"20200700804"</f>
        <v>20200700804</v>
      </c>
      <c r="F96" s="5">
        <v>59.9</v>
      </c>
      <c r="G96" s="5">
        <v>72</v>
      </c>
      <c r="H96" s="5">
        <f t="shared" si="7"/>
        <v>131.9</v>
      </c>
      <c r="I96" s="14">
        <v>75.2</v>
      </c>
      <c r="J96" s="23">
        <f t="shared" si="8"/>
        <v>69.650000000000006</v>
      </c>
      <c r="K96" s="19"/>
    </row>
    <row r="97" spans="1:11" s="17" customFormat="1" ht="21.75" customHeight="1" x14ac:dyDescent="0.15">
      <c r="A97" s="10">
        <v>95</v>
      </c>
      <c r="B97" s="16" t="s">
        <v>15</v>
      </c>
      <c r="C97" s="15"/>
      <c r="D97" s="15"/>
      <c r="E97" s="15" t="str">
        <f>"20200700906"</f>
        <v>20200700906</v>
      </c>
      <c r="F97" s="5">
        <v>64.599999999999994</v>
      </c>
      <c r="G97" s="5">
        <v>68</v>
      </c>
      <c r="H97" s="5">
        <f t="shared" si="7"/>
        <v>132.6</v>
      </c>
      <c r="I97" s="14">
        <v>74.400000000000006</v>
      </c>
      <c r="J97" s="23">
        <f t="shared" si="8"/>
        <v>69.539999999999992</v>
      </c>
      <c r="K97" s="19"/>
    </row>
    <row r="98" spans="1:11" s="17" customFormat="1" ht="21.75" customHeight="1" x14ac:dyDescent="0.15">
      <c r="A98" s="10">
        <v>96</v>
      </c>
      <c r="B98" s="16" t="s">
        <v>15</v>
      </c>
      <c r="C98" s="15"/>
      <c r="D98" s="15"/>
      <c r="E98" s="15" t="str">
        <f>"20200700830"</f>
        <v>20200700830</v>
      </c>
      <c r="F98" s="5">
        <v>61.6</v>
      </c>
      <c r="G98" s="5">
        <v>71</v>
      </c>
      <c r="H98" s="5">
        <f t="shared" si="7"/>
        <v>132.6</v>
      </c>
      <c r="I98" s="14">
        <v>74.2</v>
      </c>
      <c r="J98" s="23">
        <f t="shared" si="8"/>
        <v>69.459999999999994</v>
      </c>
      <c r="K98" s="19"/>
    </row>
    <row r="99" spans="1:11" s="17" customFormat="1" ht="21.75" customHeight="1" x14ac:dyDescent="0.15">
      <c r="A99" s="10">
        <v>97</v>
      </c>
      <c r="B99" s="16" t="s">
        <v>15</v>
      </c>
      <c r="C99" s="15"/>
      <c r="D99" s="15"/>
      <c r="E99" s="15" t="str">
        <f>"20200700909"</f>
        <v>20200700909</v>
      </c>
      <c r="F99" s="5">
        <v>62</v>
      </c>
      <c r="G99" s="5">
        <v>69</v>
      </c>
      <c r="H99" s="5">
        <f t="shared" si="7"/>
        <v>131</v>
      </c>
      <c r="I99" s="14">
        <v>74.8</v>
      </c>
      <c r="J99" s="23">
        <f t="shared" si="8"/>
        <v>69.22</v>
      </c>
      <c r="K99" s="19"/>
    </row>
    <row r="100" spans="1:11" s="17" customFormat="1" ht="21.75" customHeight="1" x14ac:dyDescent="0.15">
      <c r="A100" s="10">
        <v>98</v>
      </c>
      <c r="B100" s="16" t="s">
        <v>15</v>
      </c>
      <c r="C100" s="15"/>
      <c r="D100" s="15"/>
      <c r="E100" s="15" t="str">
        <f>"20200700811"</f>
        <v>20200700811</v>
      </c>
      <c r="F100" s="5">
        <v>61.8</v>
      </c>
      <c r="G100" s="5">
        <v>66</v>
      </c>
      <c r="H100" s="5">
        <f t="shared" si="7"/>
        <v>127.8</v>
      </c>
      <c r="I100" s="18">
        <v>76.8</v>
      </c>
      <c r="J100" s="23">
        <f t="shared" si="8"/>
        <v>69.06</v>
      </c>
      <c r="K100" s="19"/>
    </row>
    <row r="101" spans="1:11" s="17" customFormat="1" ht="21.75" customHeight="1" x14ac:dyDescent="0.15">
      <c r="A101" s="10">
        <v>99</v>
      </c>
      <c r="B101" s="16" t="s">
        <v>15</v>
      </c>
      <c r="C101" s="15"/>
      <c r="D101" s="15"/>
      <c r="E101" s="15" t="str">
        <f>"20200700902"</f>
        <v>20200700902</v>
      </c>
      <c r="F101" s="5">
        <v>64.2</v>
      </c>
      <c r="G101" s="5">
        <v>71</v>
      </c>
      <c r="H101" s="5">
        <f t="shared" si="7"/>
        <v>135.19999999999999</v>
      </c>
      <c r="I101" s="14">
        <v>71.2</v>
      </c>
      <c r="J101" s="23">
        <f t="shared" si="8"/>
        <v>69.039999999999992</v>
      </c>
      <c r="K101" s="19"/>
    </row>
    <row r="102" spans="1:11" s="17" customFormat="1" ht="21.75" customHeight="1" x14ac:dyDescent="0.15">
      <c r="A102" s="10">
        <v>100</v>
      </c>
      <c r="B102" s="16" t="s">
        <v>15</v>
      </c>
      <c r="C102" s="15"/>
      <c r="D102" s="15"/>
      <c r="E102" s="15" t="str">
        <f>"20200700813"</f>
        <v>20200700813</v>
      </c>
      <c r="F102" s="5">
        <v>58.2</v>
      </c>
      <c r="G102" s="5">
        <v>70.5</v>
      </c>
      <c r="H102" s="5">
        <f t="shared" si="7"/>
        <v>128.69999999999999</v>
      </c>
      <c r="I102" s="14">
        <v>74.400000000000006</v>
      </c>
      <c r="J102" s="23">
        <f t="shared" si="8"/>
        <v>68.37</v>
      </c>
      <c r="K102" s="19"/>
    </row>
    <row r="103" spans="1:11" s="17" customFormat="1" ht="21.75" customHeight="1" x14ac:dyDescent="0.15">
      <c r="A103" s="10">
        <v>101</v>
      </c>
      <c r="B103" s="16" t="s">
        <v>15</v>
      </c>
      <c r="C103" s="15"/>
      <c r="D103" s="15"/>
      <c r="E103" s="15" t="str">
        <f>"20200700824"</f>
        <v>20200700824</v>
      </c>
      <c r="F103" s="5">
        <v>58.6</v>
      </c>
      <c r="G103" s="5">
        <v>68.5</v>
      </c>
      <c r="H103" s="5">
        <f t="shared" si="7"/>
        <v>127.1</v>
      </c>
      <c r="I103" s="18">
        <v>74.8</v>
      </c>
      <c r="J103" s="23">
        <f t="shared" si="8"/>
        <v>68.05</v>
      </c>
      <c r="K103" s="19"/>
    </row>
    <row r="104" spans="1:11" s="17" customFormat="1" ht="21.75" customHeight="1" x14ac:dyDescent="0.15">
      <c r="A104" s="10">
        <v>102</v>
      </c>
      <c r="B104" s="16" t="s">
        <v>15</v>
      </c>
      <c r="C104" s="15"/>
      <c r="D104" s="15"/>
      <c r="E104" s="15" t="str">
        <f>"20200700827"</f>
        <v>20200700827</v>
      </c>
      <c r="F104" s="5">
        <v>59.3</v>
      </c>
      <c r="G104" s="5">
        <v>67</v>
      </c>
      <c r="H104" s="5">
        <f t="shared" si="7"/>
        <v>126.3</v>
      </c>
      <c r="I104" s="18">
        <v>73.8</v>
      </c>
      <c r="J104" s="23">
        <f t="shared" si="8"/>
        <v>67.41</v>
      </c>
      <c r="K104" s="19"/>
    </row>
    <row r="105" spans="1:11" s="17" customFormat="1" ht="21.75" customHeight="1" x14ac:dyDescent="0.15">
      <c r="A105" s="10">
        <v>103</v>
      </c>
      <c r="B105" s="16" t="s">
        <v>15</v>
      </c>
      <c r="C105" s="15"/>
      <c r="D105" s="15"/>
      <c r="E105" s="15" t="str">
        <f>"20200700826"</f>
        <v>20200700826</v>
      </c>
      <c r="F105" s="5">
        <v>56.1</v>
      </c>
      <c r="G105" s="5">
        <v>71</v>
      </c>
      <c r="H105" s="5">
        <f t="shared" si="7"/>
        <v>127.1</v>
      </c>
      <c r="I105" s="18">
        <v>68</v>
      </c>
      <c r="J105" s="23">
        <f t="shared" si="8"/>
        <v>65.33</v>
      </c>
      <c r="K105" s="19"/>
    </row>
    <row r="106" spans="1:11" s="12" customFormat="1" ht="21.75" customHeight="1" x14ac:dyDescent="0.15">
      <c r="A106" s="10">
        <v>104</v>
      </c>
      <c r="B106" s="11" t="s">
        <v>26</v>
      </c>
      <c r="C106" s="10" t="str">
        <f>"韩飞扬"</f>
        <v>韩飞扬</v>
      </c>
      <c r="D106" s="10" t="str">
        <f>"男"</f>
        <v>男</v>
      </c>
      <c r="E106" s="10" t="str">
        <f>"20200700919"</f>
        <v>20200700919</v>
      </c>
      <c r="F106" s="7">
        <v>62.8</v>
      </c>
      <c r="G106" s="7">
        <v>68.5</v>
      </c>
      <c r="H106" s="7">
        <f t="shared" si="7"/>
        <v>131.30000000000001</v>
      </c>
      <c r="I106" s="4">
        <v>72.8</v>
      </c>
      <c r="J106" s="22">
        <f t="shared" si="8"/>
        <v>68.510000000000005</v>
      </c>
      <c r="K106" s="20"/>
    </row>
    <row r="107" spans="1:11" s="12" customFormat="1" ht="21.75" customHeight="1" x14ac:dyDescent="0.15">
      <c r="A107" s="10">
        <v>105</v>
      </c>
      <c r="B107" s="11" t="s">
        <v>26</v>
      </c>
      <c r="C107" s="10" t="str">
        <f>"张云志"</f>
        <v>张云志</v>
      </c>
      <c r="D107" s="10" t="str">
        <f>"男"</f>
        <v>男</v>
      </c>
      <c r="E107" s="10" t="str">
        <f>"20200700918"</f>
        <v>20200700918</v>
      </c>
      <c r="F107" s="7">
        <v>62.2</v>
      </c>
      <c r="G107" s="7">
        <v>66.5</v>
      </c>
      <c r="H107" s="7">
        <f t="shared" si="7"/>
        <v>128.69999999999999</v>
      </c>
      <c r="I107" s="4">
        <v>73.400000000000006</v>
      </c>
      <c r="J107" s="22">
        <f t="shared" si="8"/>
        <v>67.97</v>
      </c>
      <c r="K107" s="20"/>
    </row>
    <row r="108" spans="1:11" s="12" customFormat="1" ht="21.75" customHeight="1" x14ac:dyDescent="0.15">
      <c r="A108" s="10">
        <v>106</v>
      </c>
      <c r="B108" s="11" t="s">
        <v>26</v>
      </c>
      <c r="C108" s="10" t="str">
        <f>"梅树峰"</f>
        <v>梅树峰</v>
      </c>
      <c r="D108" s="10" t="str">
        <f>"男"</f>
        <v>男</v>
      </c>
      <c r="E108" s="10" t="str">
        <f>"20200700925"</f>
        <v>20200700925</v>
      </c>
      <c r="F108" s="7">
        <v>58.7</v>
      </c>
      <c r="G108" s="7">
        <v>65</v>
      </c>
      <c r="H108" s="7">
        <f t="shared" si="7"/>
        <v>123.7</v>
      </c>
      <c r="I108" s="4">
        <v>76</v>
      </c>
      <c r="J108" s="22">
        <f t="shared" si="8"/>
        <v>67.510000000000005</v>
      </c>
      <c r="K108" s="20"/>
    </row>
    <row r="109" spans="1:11" s="12" customFormat="1" ht="21.75" customHeight="1" x14ac:dyDescent="0.15">
      <c r="A109" s="10">
        <v>107</v>
      </c>
      <c r="B109" s="11" t="s">
        <v>26</v>
      </c>
      <c r="C109" s="10" t="str">
        <f>"王金"</f>
        <v>王金</v>
      </c>
      <c r="D109" s="10" t="str">
        <f>"男"</f>
        <v>男</v>
      </c>
      <c r="E109" s="10" t="str">
        <f>"20200700920"</f>
        <v>20200700920</v>
      </c>
      <c r="F109" s="7">
        <v>53.3</v>
      </c>
      <c r="G109" s="7">
        <v>69</v>
      </c>
      <c r="H109" s="7">
        <f t="shared" si="7"/>
        <v>122.3</v>
      </c>
      <c r="I109" s="4">
        <v>75</v>
      </c>
      <c r="J109" s="22">
        <f t="shared" si="8"/>
        <v>66.69</v>
      </c>
      <c r="K109" s="20"/>
    </row>
    <row r="110" spans="1:11" s="17" customFormat="1" ht="21.75" customHeight="1" x14ac:dyDescent="0.15">
      <c r="A110" s="10">
        <v>108</v>
      </c>
      <c r="B110" s="16" t="s">
        <v>26</v>
      </c>
      <c r="C110" s="15"/>
      <c r="D110" s="15"/>
      <c r="E110" s="15" t="str">
        <f>"20200700923"</f>
        <v>20200700923</v>
      </c>
      <c r="F110" s="5">
        <v>57</v>
      </c>
      <c r="G110" s="5">
        <v>64.5</v>
      </c>
      <c r="H110" s="5">
        <f t="shared" si="7"/>
        <v>121.5</v>
      </c>
      <c r="I110" s="14">
        <v>72.8</v>
      </c>
      <c r="J110" s="23">
        <f t="shared" si="8"/>
        <v>65.569999999999993</v>
      </c>
      <c r="K110" s="19"/>
    </row>
    <row r="111" spans="1:11" s="12" customFormat="1" ht="21.75" customHeight="1" x14ac:dyDescent="0.15">
      <c r="A111" s="10">
        <v>109</v>
      </c>
      <c r="B111" s="11" t="s">
        <v>5</v>
      </c>
      <c r="C111" s="10" t="str">
        <f>"张慧"</f>
        <v>张慧</v>
      </c>
      <c r="D111" s="10" t="str">
        <f>"女"</f>
        <v>女</v>
      </c>
      <c r="E111" s="10" t="str">
        <f>"20200700927"</f>
        <v>20200700927</v>
      </c>
      <c r="F111" s="7">
        <v>64.099999999999994</v>
      </c>
      <c r="G111" s="7">
        <v>73</v>
      </c>
      <c r="H111" s="7">
        <f t="shared" si="7"/>
        <v>137.1</v>
      </c>
      <c r="I111" s="4">
        <v>76</v>
      </c>
      <c r="J111" s="22">
        <f t="shared" si="8"/>
        <v>71.53</v>
      </c>
      <c r="K111" s="20"/>
    </row>
    <row r="112" spans="1:11" s="17" customFormat="1" ht="21.75" customHeight="1" x14ac:dyDescent="0.15">
      <c r="A112" s="10">
        <v>110</v>
      </c>
      <c r="B112" s="16" t="s">
        <v>5</v>
      </c>
      <c r="C112" s="15"/>
      <c r="D112" s="15"/>
      <c r="E112" s="15" t="str">
        <f>"20200700926"</f>
        <v>20200700926</v>
      </c>
      <c r="F112" s="5">
        <v>60.2</v>
      </c>
      <c r="G112" s="5">
        <v>74</v>
      </c>
      <c r="H112" s="5">
        <f t="shared" si="7"/>
        <v>134.19999999999999</v>
      </c>
      <c r="I112" s="14">
        <v>75</v>
      </c>
      <c r="J112" s="23">
        <f t="shared" si="8"/>
        <v>70.259999999999991</v>
      </c>
      <c r="K112" s="19"/>
    </row>
    <row r="113" spans="1:11" s="12" customFormat="1" ht="21.75" customHeight="1" x14ac:dyDescent="0.15">
      <c r="A113" s="10">
        <v>111</v>
      </c>
      <c r="B113" s="11" t="s">
        <v>8</v>
      </c>
      <c r="C113" s="10" t="str">
        <f>"孙双珺"</f>
        <v>孙双珺</v>
      </c>
      <c r="D113" s="10" t="str">
        <f>"男"</f>
        <v>男</v>
      </c>
      <c r="E113" s="10" t="str">
        <f>"20200701011"</f>
        <v>20200701011</v>
      </c>
      <c r="F113" s="7">
        <v>78.3</v>
      </c>
      <c r="G113" s="7">
        <v>75</v>
      </c>
      <c r="H113" s="7">
        <f t="shared" si="7"/>
        <v>153.30000000000001</v>
      </c>
      <c r="I113" s="4">
        <v>80.400000000000006</v>
      </c>
      <c r="J113" s="22">
        <f t="shared" si="8"/>
        <v>78.150000000000006</v>
      </c>
      <c r="K113" s="20"/>
    </row>
    <row r="114" spans="1:11" s="17" customFormat="1" ht="21.75" customHeight="1" x14ac:dyDescent="0.15">
      <c r="A114" s="10">
        <v>112</v>
      </c>
      <c r="B114" s="16" t="s">
        <v>8</v>
      </c>
      <c r="C114" s="15"/>
      <c r="D114" s="15"/>
      <c r="E114" s="15" t="str">
        <f>"20200701009"</f>
        <v>20200701009</v>
      </c>
      <c r="F114" s="5">
        <v>76.099999999999994</v>
      </c>
      <c r="G114" s="5">
        <v>80</v>
      </c>
      <c r="H114" s="5">
        <f t="shared" si="7"/>
        <v>156.1</v>
      </c>
      <c r="I114" s="14">
        <v>70</v>
      </c>
      <c r="J114" s="23">
        <f t="shared" si="8"/>
        <v>74.83</v>
      </c>
      <c r="K114" s="19"/>
    </row>
    <row r="115" spans="1:11" s="17" customFormat="1" ht="21.75" customHeight="1" x14ac:dyDescent="0.15">
      <c r="A115" s="10">
        <v>113</v>
      </c>
      <c r="B115" s="16" t="s">
        <v>8</v>
      </c>
      <c r="C115" s="15"/>
      <c r="D115" s="15"/>
      <c r="E115" s="15" t="str">
        <f>"20200701006"</f>
        <v>20200701006</v>
      </c>
      <c r="F115" s="5">
        <v>74</v>
      </c>
      <c r="G115" s="5">
        <v>79</v>
      </c>
      <c r="H115" s="5">
        <f t="shared" si="7"/>
        <v>153</v>
      </c>
      <c r="I115" s="14">
        <v>66.400000000000006</v>
      </c>
      <c r="J115" s="23">
        <f t="shared" si="8"/>
        <v>72.460000000000008</v>
      </c>
      <c r="K115" s="19"/>
    </row>
    <row r="116" spans="1:11" s="12" customFormat="1" ht="21.75" customHeight="1" x14ac:dyDescent="0.15">
      <c r="A116" s="10">
        <v>114</v>
      </c>
      <c r="B116" s="11" t="s">
        <v>24</v>
      </c>
      <c r="C116" s="10" t="str">
        <f>"张壮"</f>
        <v>张壮</v>
      </c>
      <c r="D116" s="10" t="str">
        <f>"男"</f>
        <v>男</v>
      </c>
      <c r="E116" s="10" t="str">
        <f>"20200701028"</f>
        <v>20200701028</v>
      </c>
      <c r="F116" s="7">
        <v>63.4</v>
      </c>
      <c r="G116" s="7">
        <v>70</v>
      </c>
      <c r="H116" s="7">
        <f t="shared" si="7"/>
        <v>133.4</v>
      </c>
      <c r="I116" s="4">
        <v>76.400000000000006</v>
      </c>
      <c r="J116" s="22">
        <f t="shared" si="8"/>
        <v>70.580000000000013</v>
      </c>
      <c r="K116" s="20"/>
    </row>
    <row r="117" spans="1:11" s="17" customFormat="1" ht="21.75" customHeight="1" x14ac:dyDescent="0.15">
      <c r="A117" s="10">
        <v>115</v>
      </c>
      <c r="B117" s="16" t="s">
        <v>24</v>
      </c>
      <c r="C117" s="15"/>
      <c r="D117" s="15"/>
      <c r="E117" s="15" t="str">
        <f>"20200701021"</f>
        <v>20200701021</v>
      </c>
      <c r="F117" s="5">
        <v>61.8</v>
      </c>
      <c r="G117" s="5">
        <v>72</v>
      </c>
      <c r="H117" s="5">
        <f t="shared" si="7"/>
        <v>133.80000000000001</v>
      </c>
      <c r="I117" s="14">
        <v>73.099999999999994</v>
      </c>
      <c r="J117" s="23">
        <f t="shared" si="8"/>
        <v>69.38</v>
      </c>
      <c r="K117" s="19"/>
    </row>
    <row r="118" spans="1:11" s="17" customFormat="1" ht="21.75" customHeight="1" x14ac:dyDescent="0.15">
      <c r="A118" s="10">
        <v>116</v>
      </c>
      <c r="B118" s="16" t="s">
        <v>24</v>
      </c>
      <c r="C118" s="15"/>
      <c r="D118" s="15"/>
      <c r="E118" s="15" t="str">
        <f>"20200701024"</f>
        <v>20200701024</v>
      </c>
      <c r="F118" s="5">
        <v>49.6</v>
      </c>
      <c r="G118" s="5">
        <v>71.5</v>
      </c>
      <c r="H118" s="5">
        <f t="shared" si="7"/>
        <v>121.1</v>
      </c>
      <c r="I118" s="18">
        <v>75.599999999999994</v>
      </c>
      <c r="J118" s="23">
        <f t="shared" si="8"/>
        <v>66.569999999999993</v>
      </c>
      <c r="K118" s="19"/>
    </row>
    <row r="119" spans="1:11" s="12" customFormat="1" ht="21.75" customHeight="1" x14ac:dyDescent="0.15">
      <c r="A119" s="10">
        <v>117</v>
      </c>
      <c r="B119" s="11" t="s">
        <v>32</v>
      </c>
      <c r="C119" s="10" t="str">
        <f>"蔡俊茹"</f>
        <v>蔡俊茹</v>
      </c>
      <c r="D119" s="10" t="str">
        <f>"女"</f>
        <v>女</v>
      </c>
      <c r="E119" s="10" t="str">
        <f>"20200701030"</f>
        <v>20200701030</v>
      </c>
      <c r="F119" s="7">
        <v>59.7</v>
      </c>
      <c r="G119" s="7">
        <v>69.5</v>
      </c>
      <c r="H119" s="7">
        <f t="shared" si="7"/>
        <v>129.19999999999999</v>
      </c>
      <c r="I119" s="4">
        <v>78.2</v>
      </c>
      <c r="J119" s="22">
        <f t="shared" si="8"/>
        <v>70.039999999999992</v>
      </c>
      <c r="K119" s="20"/>
    </row>
    <row r="120" spans="1:11" s="17" customFormat="1" ht="21.75" customHeight="1" x14ac:dyDescent="0.15">
      <c r="A120" s="10">
        <v>118</v>
      </c>
      <c r="B120" s="16" t="s">
        <v>32</v>
      </c>
      <c r="C120" s="15"/>
      <c r="D120" s="15"/>
      <c r="E120" s="15" t="str">
        <f>"20200701101"</f>
        <v>20200701101</v>
      </c>
      <c r="F120" s="5">
        <v>50.9</v>
      </c>
      <c r="G120" s="5">
        <v>76</v>
      </c>
      <c r="H120" s="5">
        <f t="shared" si="7"/>
        <v>126.9</v>
      </c>
      <c r="I120" s="14">
        <v>79.2</v>
      </c>
      <c r="J120" s="23">
        <f t="shared" si="8"/>
        <v>69.75</v>
      </c>
      <c r="K120" s="19"/>
    </row>
    <row r="121" spans="1:11" s="17" customFormat="1" ht="21.75" customHeight="1" x14ac:dyDescent="0.15">
      <c r="A121" s="10">
        <v>119</v>
      </c>
      <c r="B121" s="16" t="s">
        <v>32</v>
      </c>
      <c r="C121" s="15"/>
      <c r="D121" s="15"/>
      <c r="E121" s="15" t="str">
        <f>"20200701029"</f>
        <v>20200701029</v>
      </c>
      <c r="F121" s="5">
        <v>55.8</v>
      </c>
      <c r="G121" s="5">
        <v>72</v>
      </c>
      <c r="H121" s="5">
        <f t="shared" si="7"/>
        <v>127.8</v>
      </c>
      <c r="I121" s="14">
        <v>72.400000000000006</v>
      </c>
      <c r="J121" s="23">
        <f t="shared" si="8"/>
        <v>67.3</v>
      </c>
      <c r="K121" s="19"/>
    </row>
    <row r="122" spans="1:11" s="12" customFormat="1" ht="21.75" customHeight="1" x14ac:dyDescent="0.15">
      <c r="A122" s="10">
        <v>120</v>
      </c>
      <c r="B122" s="11" t="s">
        <v>19</v>
      </c>
      <c r="C122" s="10" t="str">
        <f>"李紫伟"</f>
        <v>李紫伟</v>
      </c>
      <c r="D122" s="10" t="str">
        <f>"男"</f>
        <v>男</v>
      </c>
      <c r="E122" s="10" t="str">
        <f>"20200701103"</f>
        <v>20200701103</v>
      </c>
      <c r="F122" s="7">
        <v>70.5</v>
      </c>
      <c r="G122" s="7">
        <v>68.5</v>
      </c>
      <c r="H122" s="7">
        <f t="shared" si="7"/>
        <v>139</v>
      </c>
      <c r="I122" s="4">
        <v>72.8</v>
      </c>
      <c r="J122" s="22">
        <f t="shared" si="8"/>
        <v>70.819999999999993</v>
      </c>
      <c r="K122" s="20"/>
    </row>
    <row r="123" spans="1:11" s="12" customFormat="1" ht="21.75" customHeight="1" x14ac:dyDescent="0.15">
      <c r="A123" s="10">
        <v>121</v>
      </c>
      <c r="B123" s="11" t="s">
        <v>19</v>
      </c>
      <c r="C123" s="10" t="str">
        <f>"华启璇"</f>
        <v>华启璇</v>
      </c>
      <c r="D123" s="10" t="str">
        <f>"男"</f>
        <v>男</v>
      </c>
      <c r="E123" s="10" t="str">
        <f>"20200701105"</f>
        <v>20200701105</v>
      </c>
      <c r="F123" s="7">
        <v>66</v>
      </c>
      <c r="G123" s="7">
        <v>70.5</v>
      </c>
      <c r="H123" s="7">
        <f t="shared" si="7"/>
        <v>136.5</v>
      </c>
      <c r="I123" s="4">
        <v>68.8</v>
      </c>
      <c r="J123" s="22">
        <f t="shared" si="8"/>
        <v>68.47</v>
      </c>
      <c r="K123" s="20"/>
    </row>
    <row r="124" spans="1:11" s="12" customFormat="1" ht="21.75" customHeight="1" x14ac:dyDescent="0.15">
      <c r="A124" s="10">
        <v>122</v>
      </c>
      <c r="B124" s="11" t="s">
        <v>19</v>
      </c>
      <c r="C124" s="10" t="str">
        <f>"朱晓畅"</f>
        <v>朱晓畅</v>
      </c>
      <c r="D124" s="10" t="str">
        <f>"男"</f>
        <v>男</v>
      </c>
      <c r="E124" s="10" t="str">
        <f>"20200701108"</f>
        <v>20200701108</v>
      </c>
      <c r="F124" s="7">
        <v>63.6</v>
      </c>
      <c r="G124" s="7">
        <v>68.5</v>
      </c>
      <c r="H124" s="7">
        <f t="shared" si="7"/>
        <v>132.1</v>
      </c>
      <c r="I124" s="4">
        <v>71.2</v>
      </c>
      <c r="J124" s="22">
        <f t="shared" si="8"/>
        <v>68.11</v>
      </c>
      <c r="K124" s="20"/>
    </row>
    <row r="125" spans="1:11" s="17" customFormat="1" ht="21.75" customHeight="1" x14ac:dyDescent="0.15">
      <c r="A125" s="10">
        <v>123</v>
      </c>
      <c r="B125" s="16" t="s">
        <v>19</v>
      </c>
      <c r="C125" s="15"/>
      <c r="D125" s="15"/>
      <c r="E125" s="15" t="str">
        <f>"20200701109"</f>
        <v>20200701109</v>
      </c>
      <c r="F125" s="5">
        <v>44.6</v>
      </c>
      <c r="G125" s="5">
        <v>69.5</v>
      </c>
      <c r="H125" s="5">
        <f t="shared" si="7"/>
        <v>114.1</v>
      </c>
      <c r="I125" s="14">
        <v>69.3</v>
      </c>
      <c r="J125" s="23">
        <f t="shared" si="8"/>
        <v>61.949999999999996</v>
      </c>
      <c r="K125" s="19"/>
    </row>
    <row r="126" spans="1:11" s="12" customFormat="1" ht="21.75" customHeight="1" x14ac:dyDescent="0.15">
      <c r="A126" s="10">
        <v>124</v>
      </c>
      <c r="B126" s="11" t="s">
        <v>17</v>
      </c>
      <c r="C126" s="10" t="str">
        <f>"陈若"</f>
        <v>陈若</v>
      </c>
      <c r="D126" s="10" t="str">
        <f>"男"</f>
        <v>男</v>
      </c>
      <c r="E126" s="10" t="str">
        <f>"20200701110"</f>
        <v>20200701110</v>
      </c>
      <c r="F126" s="7">
        <v>57.9</v>
      </c>
      <c r="G126" s="7">
        <v>71.5</v>
      </c>
      <c r="H126" s="7">
        <f t="shared" ref="H126:H154" si="9">SUM(F126:G126)</f>
        <v>129.4</v>
      </c>
      <c r="I126" s="4">
        <v>77</v>
      </c>
      <c r="J126" s="22">
        <f t="shared" ref="J126:J154" si="10">H126/2*0.6+I126*0.4</f>
        <v>69.62</v>
      </c>
      <c r="K126" s="20"/>
    </row>
    <row r="127" spans="1:11" s="17" customFormat="1" ht="21.75" customHeight="1" x14ac:dyDescent="0.15">
      <c r="A127" s="10">
        <v>125</v>
      </c>
      <c r="B127" s="16" t="s">
        <v>17</v>
      </c>
      <c r="C127" s="15"/>
      <c r="D127" s="15"/>
      <c r="E127" s="15" t="str">
        <f>"20200701112"</f>
        <v>20200701112</v>
      </c>
      <c r="F127" s="5">
        <v>44.8</v>
      </c>
      <c r="G127" s="5">
        <v>69.5</v>
      </c>
      <c r="H127" s="5">
        <f t="shared" si="9"/>
        <v>114.3</v>
      </c>
      <c r="I127" s="14">
        <v>69.8</v>
      </c>
      <c r="J127" s="23">
        <f t="shared" si="10"/>
        <v>62.21</v>
      </c>
      <c r="K127" s="19"/>
    </row>
    <row r="128" spans="1:11" s="12" customFormat="1" ht="21.75" customHeight="1" x14ac:dyDescent="0.15">
      <c r="A128" s="10">
        <v>126</v>
      </c>
      <c r="B128" s="11" t="s">
        <v>31</v>
      </c>
      <c r="C128" s="10" t="str">
        <f>"易昌达"</f>
        <v>易昌达</v>
      </c>
      <c r="D128" s="10" t="str">
        <f>"男"</f>
        <v>男</v>
      </c>
      <c r="E128" s="10" t="str">
        <f>"20200701115"</f>
        <v>20200701115</v>
      </c>
      <c r="F128" s="7">
        <v>61.3</v>
      </c>
      <c r="G128" s="7">
        <v>67.5</v>
      </c>
      <c r="H128" s="7">
        <f t="shared" si="9"/>
        <v>128.80000000000001</v>
      </c>
      <c r="I128" s="4">
        <v>77</v>
      </c>
      <c r="J128" s="22">
        <f t="shared" si="10"/>
        <v>69.44</v>
      </c>
      <c r="K128" s="20"/>
    </row>
    <row r="129" spans="1:11" s="12" customFormat="1" ht="21.75" customHeight="1" x14ac:dyDescent="0.15">
      <c r="A129" s="10">
        <v>127</v>
      </c>
      <c r="B129" s="11" t="s">
        <v>36</v>
      </c>
      <c r="C129" s="10" t="str">
        <f>"叶露露"</f>
        <v>叶露露</v>
      </c>
      <c r="D129" s="10" t="str">
        <f>"女"</f>
        <v>女</v>
      </c>
      <c r="E129" s="10" t="str">
        <f>"20200701118"</f>
        <v>20200701118</v>
      </c>
      <c r="F129" s="7">
        <v>53.7</v>
      </c>
      <c r="G129" s="7">
        <v>69.5</v>
      </c>
      <c r="H129" s="7">
        <f t="shared" si="9"/>
        <v>123.2</v>
      </c>
      <c r="I129" s="4">
        <v>79.3</v>
      </c>
      <c r="J129" s="22">
        <f t="shared" si="10"/>
        <v>68.680000000000007</v>
      </c>
      <c r="K129" s="20"/>
    </row>
    <row r="130" spans="1:11" s="17" customFormat="1" ht="21.75" customHeight="1" x14ac:dyDescent="0.15">
      <c r="A130" s="10">
        <v>128</v>
      </c>
      <c r="B130" s="16" t="s">
        <v>36</v>
      </c>
      <c r="C130" s="15"/>
      <c r="D130" s="15"/>
      <c r="E130" s="15" t="str">
        <f>"20200701119"</f>
        <v>20200701119</v>
      </c>
      <c r="F130" s="5">
        <v>43.9</v>
      </c>
      <c r="G130" s="5">
        <v>72</v>
      </c>
      <c r="H130" s="5">
        <f t="shared" si="9"/>
        <v>115.9</v>
      </c>
      <c r="I130" s="14">
        <v>70.400000000000006</v>
      </c>
      <c r="J130" s="23">
        <f t="shared" si="10"/>
        <v>62.930000000000007</v>
      </c>
      <c r="K130" s="19"/>
    </row>
    <row r="131" spans="1:11" s="12" customFormat="1" ht="21.75" customHeight="1" x14ac:dyDescent="0.15">
      <c r="A131" s="10">
        <v>129</v>
      </c>
      <c r="B131" s="11" t="s">
        <v>37</v>
      </c>
      <c r="C131" s="10" t="str">
        <f>"张云霄"</f>
        <v>张云霄</v>
      </c>
      <c r="D131" s="10" t="str">
        <f>"女"</f>
        <v>女</v>
      </c>
      <c r="E131" s="10" t="str">
        <f>"20200701120"</f>
        <v>20200701120</v>
      </c>
      <c r="F131" s="7">
        <v>53.8</v>
      </c>
      <c r="G131" s="7">
        <v>71.5</v>
      </c>
      <c r="H131" s="7">
        <f t="shared" si="9"/>
        <v>125.3</v>
      </c>
      <c r="I131" s="4">
        <v>72.599999999999994</v>
      </c>
      <c r="J131" s="22">
        <f t="shared" si="10"/>
        <v>66.63</v>
      </c>
      <c r="K131" s="20"/>
    </row>
    <row r="132" spans="1:11" s="17" customFormat="1" ht="21.75" customHeight="1" x14ac:dyDescent="0.15">
      <c r="A132" s="10">
        <v>130</v>
      </c>
      <c r="B132" s="16" t="s">
        <v>37</v>
      </c>
      <c r="C132" s="15"/>
      <c r="D132" s="15"/>
      <c r="E132" s="15" t="str">
        <f>"20200701121"</f>
        <v>20200701121</v>
      </c>
      <c r="F132" s="5">
        <v>51.8</v>
      </c>
      <c r="G132" s="5">
        <v>72</v>
      </c>
      <c r="H132" s="5">
        <f t="shared" si="9"/>
        <v>123.8</v>
      </c>
      <c r="I132" s="14">
        <v>71.8</v>
      </c>
      <c r="J132" s="23">
        <f t="shared" si="10"/>
        <v>65.86</v>
      </c>
      <c r="K132" s="19"/>
    </row>
    <row r="133" spans="1:11" s="17" customFormat="1" ht="21.75" customHeight="1" x14ac:dyDescent="0.15">
      <c r="A133" s="10">
        <v>131</v>
      </c>
      <c r="B133" s="11" t="s">
        <v>13</v>
      </c>
      <c r="C133" s="10" t="str">
        <f>"王德超"</f>
        <v>王德超</v>
      </c>
      <c r="D133" s="10" t="str">
        <f>"男"</f>
        <v>男</v>
      </c>
      <c r="E133" s="10" t="str">
        <f>"20200701215"</f>
        <v>20200701215</v>
      </c>
      <c r="F133" s="7">
        <v>76.7</v>
      </c>
      <c r="G133" s="7">
        <v>71</v>
      </c>
      <c r="H133" s="7">
        <f t="shared" si="9"/>
        <v>147.69999999999999</v>
      </c>
      <c r="I133" s="4">
        <v>75.2</v>
      </c>
      <c r="J133" s="22">
        <f t="shared" si="10"/>
        <v>74.39</v>
      </c>
      <c r="K133" s="20"/>
    </row>
    <row r="134" spans="1:11" s="17" customFormat="1" ht="21.75" customHeight="1" x14ac:dyDescent="0.15">
      <c r="A134" s="10">
        <v>132</v>
      </c>
      <c r="B134" s="11" t="s">
        <v>13</v>
      </c>
      <c r="C134" s="10" t="str">
        <f>"刘春娟"</f>
        <v>刘春娟</v>
      </c>
      <c r="D134" s="10" t="str">
        <f>"女"</f>
        <v>女</v>
      </c>
      <c r="E134" s="10" t="str">
        <f>"20200701219"</f>
        <v>20200701219</v>
      </c>
      <c r="F134" s="7">
        <v>70.5</v>
      </c>
      <c r="G134" s="7">
        <v>70.5</v>
      </c>
      <c r="H134" s="7">
        <f t="shared" si="9"/>
        <v>141</v>
      </c>
      <c r="I134" s="4">
        <v>70.2</v>
      </c>
      <c r="J134" s="22">
        <f t="shared" si="10"/>
        <v>70.38</v>
      </c>
      <c r="K134" s="20"/>
    </row>
    <row r="135" spans="1:11" s="17" customFormat="1" ht="21.75" customHeight="1" x14ac:dyDescent="0.15">
      <c r="A135" s="10">
        <v>133</v>
      </c>
      <c r="B135" s="11" t="s">
        <v>13</v>
      </c>
      <c r="C135" s="10" t="str">
        <f>"刘义"</f>
        <v>刘义</v>
      </c>
      <c r="D135" s="10" t="str">
        <f>"男"</f>
        <v>男</v>
      </c>
      <c r="E135" s="10" t="str">
        <f>"20200701212"</f>
        <v>20200701212</v>
      </c>
      <c r="F135" s="7">
        <v>63.3</v>
      </c>
      <c r="G135" s="7">
        <v>71.5</v>
      </c>
      <c r="H135" s="7">
        <f t="shared" si="9"/>
        <v>134.80000000000001</v>
      </c>
      <c r="I135" s="4">
        <v>72</v>
      </c>
      <c r="J135" s="22">
        <f t="shared" si="10"/>
        <v>69.240000000000009</v>
      </c>
      <c r="K135" s="20"/>
    </row>
    <row r="136" spans="1:11" s="17" customFormat="1" ht="21.75" customHeight="1" x14ac:dyDescent="0.15">
      <c r="A136" s="10">
        <v>134</v>
      </c>
      <c r="B136" s="11" t="s">
        <v>13</v>
      </c>
      <c r="C136" s="10" t="str">
        <f>"曹梦玉"</f>
        <v>曹梦玉</v>
      </c>
      <c r="D136" s="10" t="str">
        <f>"女"</f>
        <v>女</v>
      </c>
      <c r="E136" s="10" t="str">
        <f>"20200701216"</f>
        <v>20200701216</v>
      </c>
      <c r="F136" s="7">
        <v>57.8</v>
      </c>
      <c r="G136" s="7">
        <v>74</v>
      </c>
      <c r="H136" s="7">
        <f t="shared" si="9"/>
        <v>131.80000000000001</v>
      </c>
      <c r="I136" s="4">
        <v>74</v>
      </c>
      <c r="J136" s="22">
        <f t="shared" si="10"/>
        <v>69.14</v>
      </c>
      <c r="K136" s="20"/>
    </row>
    <row r="137" spans="1:11" s="12" customFormat="1" ht="21.75" customHeight="1" x14ac:dyDescent="0.15">
      <c r="A137" s="10">
        <v>135</v>
      </c>
      <c r="B137" s="11" t="s">
        <v>35</v>
      </c>
      <c r="C137" s="10" t="str">
        <f>"涂晓育"</f>
        <v>涂晓育</v>
      </c>
      <c r="D137" s="10" t="str">
        <f>"女"</f>
        <v>女</v>
      </c>
      <c r="E137" s="10" t="str">
        <f>"20200701221"</f>
        <v>20200701221</v>
      </c>
      <c r="F137" s="7">
        <v>53.4</v>
      </c>
      <c r="G137" s="7">
        <v>71.5</v>
      </c>
      <c r="H137" s="7">
        <f t="shared" si="9"/>
        <v>124.9</v>
      </c>
      <c r="I137" s="4">
        <v>74.099999999999994</v>
      </c>
      <c r="J137" s="22">
        <f t="shared" si="10"/>
        <v>67.11</v>
      </c>
      <c r="K137" s="20"/>
    </row>
    <row r="138" spans="1:11" s="12" customFormat="1" ht="21.75" customHeight="1" x14ac:dyDescent="0.15">
      <c r="A138" s="10">
        <v>136</v>
      </c>
      <c r="B138" s="11" t="s">
        <v>35</v>
      </c>
      <c r="C138" s="10" t="str">
        <f>"凡宇"</f>
        <v>凡宇</v>
      </c>
      <c r="D138" s="10" t="str">
        <f>"女"</f>
        <v>女</v>
      </c>
      <c r="E138" s="10" t="str">
        <f>"20200701222"</f>
        <v>20200701222</v>
      </c>
      <c r="F138" s="7">
        <v>56.8</v>
      </c>
      <c r="G138" s="7">
        <v>72.5</v>
      </c>
      <c r="H138" s="7">
        <f t="shared" si="9"/>
        <v>129.30000000000001</v>
      </c>
      <c r="I138" s="4">
        <v>70.400000000000006</v>
      </c>
      <c r="J138" s="22">
        <f t="shared" si="10"/>
        <v>66.95</v>
      </c>
      <c r="K138" s="20"/>
    </row>
    <row r="139" spans="1:11" s="17" customFormat="1" ht="21.75" customHeight="1" x14ac:dyDescent="0.15">
      <c r="A139" s="10">
        <v>137</v>
      </c>
      <c r="B139" s="16" t="s">
        <v>35</v>
      </c>
      <c r="C139" s="15"/>
      <c r="D139" s="15"/>
      <c r="E139" s="15" t="str">
        <f>"20200701220"</f>
        <v>20200701220</v>
      </c>
      <c r="F139" s="5">
        <v>49.2</v>
      </c>
      <c r="G139" s="5">
        <v>64.5</v>
      </c>
      <c r="H139" s="5">
        <f t="shared" si="9"/>
        <v>113.7</v>
      </c>
      <c r="I139" s="14">
        <v>71.599999999999994</v>
      </c>
      <c r="J139" s="23">
        <f t="shared" si="10"/>
        <v>62.75</v>
      </c>
      <c r="K139" s="19"/>
    </row>
    <row r="140" spans="1:11" s="12" customFormat="1" ht="21.75" customHeight="1" x14ac:dyDescent="0.15">
      <c r="A140" s="10">
        <v>138</v>
      </c>
      <c r="B140" s="11" t="s">
        <v>18</v>
      </c>
      <c r="C140" s="10" t="str">
        <f>"季梦如"</f>
        <v>季梦如</v>
      </c>
      <c r="D140" s="10" t="str">
        <f>"女"</f>
        <v>女</v>
      </c>
      <c r="E140" s="10" t="str">
        <f>"20200701321"</f>
        <v>20200701321</v>
      </c>
      <c r="F140" s="7">
        <v>63.8</v>
      </c>
      <c r="G140" s="7">
        <v>68</v>
      </c>
      <c r="H140" s="7">
        <f t="shared" si="9"/>
        <v>131.80000000000001</v>
      </c>
      <c r="I140" s="4">
        <v>75</v>
      </c>
      <c r="J140" s="22">
        <f t="shared" si="10"/>
        <v>69.539999999999992</v>
      </c>
      <c r="K140" s="20"/>
    </row>
    <row r="141" spans="1:11" s="12" customFormat="1" ht="21.75" customHeight="1" x14ac:dyDescent="0.15">
      <c r="A141" s="10">
        <v>139</v>
      </c>
      <c r="B141" s="11" t="s">
        <v>18</v>
      </c>
      <c r="C141" s="10" t="str">
        <f>"薛飞"</f>
        <v>薛飞</v>
      </c>
      <c r="D141" s="10" t="str">
        <f>"男"</f>
        <v>男</v>
      </c>
      <c r="E141" s="10" t="str">
        <f>"20200701323"</f>
        <v>20200701323</v>
      </c>
      <c r="F141" s="7">
        <v>56.8</v>
      </c>
      <c r="G141" s="7">
        <v>66.5</v>
      </c>
      <c r="H141" s="7">
        <f t="shared" si="9"/>
        <v>123.3</v>
      </c>
      <c r="I141" s="4">
        <v>70.599999999999994</v>
      </c>
      <c r="J141" s="22">
        <f t="shared" si="10"/>
        <v>65.22999999999999</v>
      </c>
      <c r="K141" s="20"/>
    </row>
    <row r="142" spans="1:11" s="12" customFormat="1" ht="21.75" customHeight="1" x14ac:dyDescent="0.15">
      <c r="A142" s="10">
        <v>140</v>
      </c>
      <c r="B142" s="11" t="s">
        <v>6</v>
      </c>
      <c r="C142" s="10" t="str">
        <f>"汤雪"</f>
        <v>汤雪</v>
      </c>
      <c r="D142" s="10" t="str">
        <f>"女"</f>
        <v>女</v>
      </c>
      <c r="E142" s="10" t="str">
        <f>"20200701125"</f>
        <v>20200701125</v>
      </c>
      <c r="F142" s="7">
        <v>69.3</v>
      </c>
      <c r="G142" s="7">
        <v>72.5</v>
      </c>
      <c r="H142" s="7">
        <f t="shared" si="9"/>
        <v>141.80000000000001</v>
      </c>
      <c r="I142" s="4">
        <v>79.8</v>
      </c>
      <c r="J142" s="22">
        <f t="shared" si="10"/>
        <v>74.460000000000008</v>
      </c>
      <c r="K142" s="20"/>
    </row>
    <row r="143" spans="1:11" s="12" customFormat="1" ht="21.75" customHeight="1" x14ac:dyDescent="0.15">
      <c r="A143" s="10">
        <v>141</v>
      </c>
      <c r="B143" s="11" t="s">
        <v>6</v>
      </c>
      <c r="C143" s="10" t="str">
        <f>"张鹏"</f>
        <v>张鹏</v>
      </c>
      <c r="D143" s="10" t="str">
        <f>"男"</f>
        <v>男</v>
      </c>
      <c r="E143" s="10" t="str">
        <f>"20200701204"</f>
        <v>20200701204</v>
      </c>
      <c r="F143" s="7">
        <v>61.2</v>
      </c>
      <c r="G143" s="7">
        <v>66</v>
      </c>
      <c r="H143" s="7">
        <f t="shared" si="9"/>
        <v>127.2</v>
      </c>
      <c r="I143" s="4">
        <v>84.4</v>
      </c>
      <c r="J143" s="22">
        <f t="shared" si="10"/>
        <v>71.92</v>
      </c>
      <c r="K143" s="20"/>
    </row>
    <row r="144" spans="1:11" s="12" customFormat="1" ht="21.75" customHeight="1" x14ac:dyDescent="0.15">
      <c r="A144" s="10">
        <v>142</v>
      </c>
      <c r="B144" s="11" t="s">
        <v>6</v>
      </c>
      <c r="C144" s="10" t="str">
        <f>"张悦"</f>
        <v>张悦</v>
      </c>
      <c r="D144" s="10" t="str">
        <f>"女"</f>
        <v>女</v>
      </c>
      <c r="E144" s="10" t="str">
        <f>"20200701202"</f>
        <v>20200701202</v>
      </c>
      <c r="F144" s="7">
        <v>56.2</v>
      </c>
      <c r="G144" s="7">
        <v>71.5</v>
      </c>
      <c r="H144" s="7">
        <f t="shared" si="9"/>
        <v>127.7</v>
      </c>
      <c r="I144" s="4">
        <v>83.2</v>
      </c>
      <c r="J144" s="22">
        <f t="shared" si="10"/>
        <v>71.59</v>
      </c>
      <c r="K144" s="20"/>
    </row>
    <row r="145" spans="1:11" s="12" customFormat="1" ht="21.75" customHeight="1" x14ac:dyDescent="0.15">
      <c r="A145" s="10">
        <v>143</v>
      </c>
      <c r="B145" s="11" t="s">
        <v>6</v>
      </c>
      <c r="C145" s="10" t="str">
        <f>"蒋玉"</f>
        <v>蒋玉</v>
      </c>
      <c r="D145" s="10" t="str">
        <f>"女"</f>
        <v>女</v>
      </c>
      <c r="E145" s="10" t="str">
        <f>"20200701201"</f>
        <v>20200701201</v>
      </c>
      <c r="F145" s="7">
        <v>58.5</v>
      </c>
      <c r="G145" s="7">
        <v>70</v>
      </c>
      <c r="H145" s="7">
        <f t="shared" si="9"/>
        <v>128.5</v>
      </c>
      <c r="I145" s="4">
        <v>78.599999999999994</v>
      </c>
      <c r="J145" s="22">
        <f t="shared" si="10"/>
        <v>69.989999999999995</v>
      </c>
      <c r="K145" s="20"/>
    </row>
    <row r="146" spans="1:11" s="12" customFormat="1" ht="21.75" customHeight="1" x14ac:dyDescent="0.15">
      <c r="A146" s="10">
        <v>144</v>
      </c>
      <c r="B146" s="11" t="s">
        <v>6</v>
      </c>
      <c r="C146" s="10" t="str">
        <f>"余玲玲"</f>
        <v>余玲玲</v>
      </c>
      <c r="D146" s="10" t="str">
        <f>"女"</f>
        <v>女</v>
      </c>
      <c r="E146" s="10" t="str">
        <f>"20200701128"</f>
        <v>20200701128</v>
      </c>
      <c r="F146" s="7">
        <v>55.2</v>
      </c>
      <c r="G146" s="7">
        <v>73</v>
      </c>
      <c r="H146" s="7">
        <f t="shared" si="9"/>
        <v>128.19999999999999</v>
      </c>
      <c r="I146" s="4">
        <v>75</v>
      </c>
      <c r="J146" s="22">
        <f t="shared" si="10"/>
        <v>68.459999999999994</v>
      </c>
      <c r="K146" s="20"/>
    </row>
    <row r="147" spans="1:11" s="12" customFormat="1" ht="21.75" customHeight="1" x14ac:dyDescent="0.15">
      <c r="A147" s="10">
        <v>145</v>
      </c>
      <c r="B147" s="11" t="s">
        <v>6</v>
      </c>
      <c r="C147" s="10" t="str">
        <f>"李傲凡"</f>
        <v>李傲凡</v>
      </c>
      <c r="D147" s="10" t="str">
        <f>"男"</f>
        <v>男</v>
      </c>
      <c r="E147" s="10" t="str">
        <f>"20200701205"</f>
        <v>20200701205</v>
      </c>
      <c r="F147" s="7">
        <v>55.8</v>
      </c>
      <c r="G147" s="7">
        <v>61</v>
      </c>
      <c r="H147" s="7">
        <f t="shared" si="9"/>
        <v>116.8</v>
      </c>
      <c r="I147" s="4">
        <v>83.2</v>
      </c>
      <c r="J147" s="22">
        <f t="shared" si="10"/>
        <v>68.319999999999993</v>
      </c>
      <c r="K147" s="20"/>
    </row>
    <row r="148" spans="1:11" s="17" customFormat="1" ht="21.75" customHeight="1" x14ac:dyDescent="0.15">
      <c r="A148" s="10">
        <v>146</v>
      </c>
      <c r="B148" s="16" t="s">
        <v>6</v>
      </c>
      <c r="C148" s="15"/>
      <c r="D148" s="15"/>
      <c r="E148" s="15" t="str">
        <f>"20200701209"</f>
        <v>20200701209</v>
      </c>
      <c r="F148" s="5">
        <v>53.7</v>
      </c>
      <c r="G148" s="5">
        <v>70.5</v>
      </c>
      <c r="H148" s="5">
        <f t="shared" si="9"/>
        <v>124.2</v>
      </c>
      <c r="I148" s="14">
        <v>77.400000000000006</v>
      </c>
      <c r="J148" s="23">
        <f t="shared" si="10"/>
        <v>68.22</v>
      </c>
      <c r="K148" s="19"/>
    </row>
    <row r="149" spans="1:11" s="17" customFormat="1" ht="21.75" customHeight="1" x14ac:dyDescent="0.15">
      <c r="A149" s="10">
        <v>147</v>
      </c>
      <c r="B149" s="16" t="s">
        <v>6</v>
      </c>
      <c r="C149" s="15"/>
      <c r="D149" s="15"/>
      <c r="E149" s="15" t="str">
        <f>"20200701207"</f>
        <v>20200701207</v>
      </c>
      <c r="F149" s="5">
        <v>44.6</v>
      </c>
      <c r="G149" s="5">
        <v>71.5</v>
      </c>
      <c r="H149" s="5">
        <f t="shared" si="9"/>
        <v>116.1</v>
      </c>
      <c r="I149" s="14">
        <v>76.599999999999994</v>
      </c>
      <c r="J149" s="23">
        <f t="shared" si="10"/>
        <v>65.47</v>
      </c>
      <c r="K149" s="19"/>
    </row>
    <row r="150" spans="1:11" s="17" customFormat="1" ht="21.75" customHeight="1" x14ac:dyDescent="0.15">
      <c r="A150" s="10">
        <v>148</v>
      </c>
      <c r="B150" s="16" t="s">
        <v>6</v>
      </c>
      <c r="C150" s="15"/>
      <c r="D150" s="15"/>
      <c r="E150" s="15" t="str">
        <f>"20200701126"</f>
        <v>20200701126</v>
      </c>
      <c r="F150" s="5">
        <v>45.7</v>
      </c>
      <c r="G150" s="5">
        <v>68.5</v>
      </c>
      <c r="H150" s="5">
        <f t="shared" si="9"/>
        <v>114.2</v>
      </c>
      <c r="I150" s="14">
        <v>76.8</v>
      </c>
      <c r="J150" s="23">
        <f t="shared" si="10"/>
        <v>64.97999999999999</v>
      </c>
      <c r="K150" s="19"/>
    </row>
    <row r="151" spans="1:11" s="17" customFormat="1" ht="21.75" customHeight="1" x14ac:dyDescent="0.15">
      <c r="A151" s="10">
        <v>149</v>
      </c>
      <c r="B151" s="16" t="s">
        <v>6</v>
      </c>
      <c r="C151" s="15"/>
      <c r="D151" s="15"/>
      <c r="E151" s="15" t="str">
        <f>"20200701206"</f>
        <v>20200701206</v>
      </c>
      <c r="F151" s="5">
        <v>44.6</v>
      </c>
      <c r="G151" s="5">
        <v>69</v>
      </c>
      <c r="H151" s="5">
        <f t="shared" si="9"/>
        <v>113.6</v>
      </c>
      <c r="I151" s="14">
        <v>75.8</v>
      </c>
      <c r="J151" s="23">
        <f t="shared" si="10"/>
        <v>64.400000000000006</v>
      </c>
      <c r="K151" s="19"/>
    </row>
    <row r="152" spans="1:11" s="17" customFormat="1" ht="21.75" customHeight="1" x14ac:dyDescent="0.15">
      <c r="A152" s="10">
        <v>150</v>
      </c>
      <c r="B152" s="16" t="s">
        <v>6</v>
      </c>
      <c r="C152" s="15"/>
      <c r="D152" s="15"/>
      <c r="E152" s="15" t="str">
        <f>"20200701210"</f>
        <v>20200701210</v>
      </c>
      <c r="F152" s="5">
        <v>45.6</v>
      </c>
      <c r="G152" s="5">
        <v>68</v>
      </c>
      <c r="H152" s="5">
        <f t="shared" si="9"/>
        <v>113.6</v>
      </c>
      <c r="I152" s="14">
        <v>74.599999999999994</v>
      </c>
      <c r="J152" s="23">
        <f t="shared" si="10"/>
        <v>63.92</v>
      </c>
      <c r="K152" s="19"/>
    </row>
    <row r="153" spans="1:11" s="17" customFormat="1" ht="21.75" customHeight="1" x14ac:dyDescent="0.15">
      <c r="A153" s="10">
        <v>151</v>
      </c>
      <c r="B153" s="16" t="s">
        <v>6</v>
      </c>
      <c r="C153" s="15"/>
      <c r="D153" s="15"/>
      <c r="E153" s="15" t="str">
        <f>"20200701123"</f>
        <v>20200701123</v>
      </c>
      <c r="F153" s="5">
        <v>42.9</v>
      </c>
      <c r="G153" s="5">
        <v>71.5</v>
      </c>
      <c r="H153" s="5">
        <f t="shared" si="9"/>
        <v>114.4</v>
      </c>
      <c r="I153" s="14">
        <v>0</v>
      </c>
      <c r="J153" s="23">
        <f t="shared" si="10"/>
        <v>34.32</v>
      </c>
      <c r="K153" s="26" t="s">
        <v>58</v>
      </c>
    </row>
    <row r="154" spans="1:11" s="17" customFormat="1" ht="21.75" customHeight="1" x14ac:dyDescent="0.15">
      <c r="A154" s="10">
        <v>152</v>
      </c>
      <c r="B154" s="16" t="s">
        <v>6</v>
      </c>
      <c r="C154" s="15"/>
      <c r="D154" s="15"/>
      <c r="E154" s="15" t="str">
        <f>"20200701130"</f>
        <v>20200701130</v>
      </c>
      <c r="F154" s="5">
        <v>31.8</v>
      </c>
      <c r="G154" s="5">
        <v>74</v>
      </c>
      <c r="H154" s="5">
        <f t="shared" si="9"/>
        <v>105.8</v>
      </c>
      <c r="I154" s="14">
        <v>0</v>
      </c>
      <c r="J154" s="23">
        <f t="shared" si="10"/>
        <v>31.74</v>
      </c>
      <c r="K154" s="26" t="s">
        <v>58</v>
      </c>
    </row>
    <row r="155" spans="1:11" s="12" customFormat="1" ht="21.75" customHeight="1" x14ac:dyDescent="0.15">
      <c r="A155" s="10">
        <v>153</v>
      </c>
      <c r="B155" s="11" t="s">
        <v>14</v>
      </c>
      <c r="C155" s="10" t="str">
        <f>"徐梦"</f>
        <v>徐梦</v>
      </c>
      <c r="D155" s="10" t="str">
        <f>"女"</f>
        <v>女</v>
      </c>
      <c r="E155" s="10" t="str">
        <f>"20200701311"</f>
        <v>20200701311</v>
      </c>
      <c r="F155" s="7">
        <v>70</v>
      </c>
      <c r="G155" s="7">
        <v>71.5</v>
      </c>
      <c r="H155" s="7">
        <f t="shared" ref="H155:H177" si="11">SUM(F155:G155)</f>
        <v>141.5</v>
      </c>
      <c r="I155" s="4">
        <v>79</v>
      </c>
      <c r="J155" s="22">
        <f t="shared" ref="J155:J177" si="12">H155/2*0.6+I155*0.4</f>
        <v>74.05</v>
      </c>
      <c r="K155" s="20"/>
    </row>
    <row r="156" spans="1:11" s="12" customFormat="1" ht="21.75" customHeight="1" x14ac:dyDescent="0.15">
      <c r="A156" s="10">
        <v>154</v>
      </c>
      <c r="B156" s="11" t="s">
        <v>14</v>
      </c>
      <c r="C156" s="10" t="str">
        <f>"成辰"</f>
        <v>成辰</v>
      </c>
      <c r="D156" s="10" t="str">
        <f>"男"</f>
        <v>男</v>
      </c>
      <c r="E156" s="10" t="str">
        <f>"20200701304"</f>
        <v>20200701304</v>
      </c>
      <c r="F156" s="7">
        <v>78.7</v>
      </c>
      <c r="G156" s="7">
        <v>70</v>
      </c>
      <c r="H156" s="7">
        <f t="shared" si="11"/>
        <v>148.69999999999999</v>
      </c>
      <c r="I156" s="4">
        <v>72.8</v>
      </c>
      <c r="J156" s="22">
        <f t="shared" si="12"/>
        <v>73.72999999999999</v>
      </c>
      <c r="K156" s="20"/>
    </row>
    <row r="157" spans="1:11" s="12" customFormat="1" ht="21.75" customHeight="1" x14ac:dyDescent="0.15">
      <c r="A157" s="10">
        <v>155</v>
      </c>
      <c r="B157" s="11" t="s">
        <v>14</v>
      </c>
      <c r="C157" s="10" t="str">
        <f>"王新雪"</f>
        <v>王新雪</v>
      </c>
      <c r="D157" s="10" t="str">
        <f t="shared" ref="D157:D164" si="13">"女"</f>
        <v>女</v>
      </c>
      <c r="E157" s="10" t="str">
        <f>"20200701314"</f>
        <v>20200701314</v>
      </c>
      <c r="F157" s="7">
        <v>59.6</v>
      </c>
      <c r="G157" s="7">
        <v>75</v>
      </c>
      <c r="H157" s="7">
        <f t="shared" si="11"/>
        <v>134.6</v>
      </c>
      <c r="I157" s="4">
        <v>80.8</v>
      </c>
      <c r="J157" s="22">
        <f t="shared" si="12"/>
        <v>72.699999999999989</v>
      </c>
      <c r="K157" s="20"/>
    </row>
    <row r="158" spans="1:11" s="12" customFormat="1" ht="21.75" customHeight="1" x14ac:dyDescent="0.15">
      <c r="A158" s="10">
        <v>156</v>
      </c>
      <c r="B158" s="11" t="s">
        <v>14</v>
      </c>
      <c r="C158" s="10" t="str">
        <f>"汤爽"</f>
        <v>汤爽</v>
      </c>
      <c r="D158" s="10" t="str">
        <f t="shared" si="13"/>
        <v>女</v>
      </c>
      <c r="E158" s="10" t="str">
        <f>"20200701302"</f>
        <v>20200701302</v>
      </c>
      <c r="F158" s="7">
        <v>62.7</v>
      </c>
      <c r="G158" s="7">
        <v>71</v>
      </c>
      <c r="H158" s="7">
        <f t="shared" si="11"/>
        <v>133.69999999999999</v>
      </c>
      <c r="I158" s="4">
        <v>81.400000000000006</v>
      </c>
      <c r="J158" s="22">
        <f t="shared" si="12"/>
        <v>72.669999999999987</v>
      </c>
      <c r="K158" s="20"/>
    </row>
    <row r="159" spans="1:11" s="12" customFormat="1" ht="21.75" customHeight="1" x14ac:dyDescent="0.15">
      <c r="A159" s="10">
        <v>157</v>
      </c>
      <c r="B159" s="11" t="s">
        <v>14</v>
      </c>
      <c r="C159" s="10" t="str">
        <f>"朱梦成"</f>
        <v>朱梦成</v>
      </c>
      <c r="D159" s="10" t="str">
        <f t="shared" si="13"/>
        <v>女</v>
      </c>
      <c r="E159" s="10" t="str">
        <f>"20200701312"</f>
        <v>20200701312</v>
      </c>
      <c r="F159" s="7">
        <v>62.5</v>
      </c>
      <c r="G159" s="7">
        <v>75.5</v>
      </c>
      <c r="H159" s="7">
        <f t="shared" si="11"/>
        <v>138</v>
      </c>
      <c r="I159" s="4">
        <v>77.8</v>
      </c>
      <c r="J159" s="22">
        <f t="shared" si="12"/>
        <v>72.52</v>
      </c>
      <c r="K159" s="20"/>
    </row>
    <row r="160" spans="1:11" s="12" customFormat="1" ht="21.75" customHeight="1" x14ac:dyDescent="0.15">
      <c r="A160" s="10">
        <v>158</v>
      </c>
      <c r="B160" s="11" t="s">
        <v>14</v>
      </c>
      <c r="C160" s="10" t="str">
        <f>"刘欠"</f>
        <v>刘欠</v>
      </c>
      <c r="D160" s="10" t="str">
        <f t="shared" si="13"/>
        <v>女</v>
      </c>
      <c r="E160" s="10" t="str">
        <f>"20200701313"</f>
        <v>20200701313</v>
      </c>
      <c r="F160" s="7">
        <v>68.900000000000006</v>
      </c>
      <c r="G160" s="7">
        <v>73.5</v>
      </c>
      <c r="H160" s="7">
        <f t="shared" si="11"/>
        <v>142.4</v>
      </c>
      <c r="I160" s="4">
        <v>74</v>
      </c>
      <c r="J160" s="22">
        <f t="shared" si="12"/>
        <v>72.319999999999993</v>
      </c>
      <c r="K160" s="20"/>
    </row>
    <row r="161" spans="1:11" s="12" customFormat="1" ht="21.75" customHeight="1" x14ac:dyDescent="0.15">
      <c r="A161" s="10">
        <v>159</v>
      </c>
      <c r="B161" s="11" t="s">
        <v>14</v>
      </c>
      <c r="C161" s="10" t="str">
        <f>"曹梦梦"</f>
        <v>曹梦梦</v>
      </c>
      <c r="D161" s="10" t="str">
        <f t="shared" si="13"/>
        <v>女</v>
      </c>
      <c r="E161" s="10" t="str">
        <f>"20200701229"</f>
        <v>20200701229</v>
      </c>
      <c r="F161" s="7">
        <v>60.4</v>
      </c>
      <c r="G161" s="7">
        <v>66.5</v>
      </c>
      <c r="H161" s="7">
        <f t="shared" si="11"/>
        <v>126.9</v>
      </c>
      <c r="I161" s="4">
        <v>84</v>
      </c>
      <c r="J161" s="22">
        <f t="shared" si="12"/>
        <v>71.67</v>
      </c>
      <c r="K161" s="20"/>
    </row>
    <row r="162" spans="1:11" s="12" customFormat="1" ht="21.75" customHeight="1" x14ac:dyDescent="0.15">
      <c r="A162" s="10">
        <v>160</v>
      </c>
      <c r="B162" s="11" t="s">
        <v>14</v>
      </c>
      <c r="C162" s="10" t="str">
        <f>"陆玉婷"</f>
        <v>陆玉婷</v>
      </c>
      <c r="D162" s="10" t="str">
        <f t="shared" si="13"/>
        <v>女</v>
      </c>
      <c r="E162" s="10" t="str">
        <f>"20200701230"</f>
        <v>20200701230</v>
      </c>
      <c r="F162" s="7">
        <v>61.1</v>
      </c>
      <c r="G162" s="7">
        <v>70.5</v>
      </c>
      <c r="H162" s="7">
        <f t="shared" si="11"/>
        <v>131.6</v>
      </c>
      <c r="I162" s="4">
        <v>79.8</v>
      </c>
      <c r="J162" s="22">
        <f t="shared" si="12"/>
        <v>71.400000000000006</v>
      </c>
      <c r="K162" s="20"/>
    </row>
    <row r="163" spans="1:11" s="12" customFormat="1" ht="21.75" customHeight="1" x14ac:dyDescent="0.15">
      <c r="A163" s="10">
        <v>161</v>
      </c>
      <c r="B163" s="11" t="s">
        <v>14</v>
      </c>
      <c r="C163" s="10" t="str">
        <f>"张纯"</f>
        <v>张纯</v>
      </c>
      <c r="D163" s="10" t="str">
        <f t="shared" si="13"/>
        <v>女</v>
      </c>
      <c r="E163" s="10" t="str">
        <f>"20200701320"</f>
        <v>20200701320</v>
      </c>
      <c r="F163" s="7">
        <v>56.4</v>
      </c>
      <c r="G163" s="7">
        <v>75</v>
      </c>
      <c r="H163" s="7">
        <f t="shared" si="11"/>
        <v>131.4</v>
      </c>
      <c r="I163" s="4">
        <v>77.2</v>
      </c>
      <c r="J163" s="22">
        <f t="shared" si="12"/>
        <v>70.300000000000011</v>
      </c>
      <c r="K163" s="20"/>
    </row>
    <row r="164" spans="1:11" s="12" customFormat="1" ht="21.75" customHeight="1" x14ac:dyDescent="0.15">
      <c r="A164" s="10">
        <v>162</v>
      </c>
      <c r="B164" s="11" t="s">
        <v>14</v>
      </c>
      <c r="C164" s="10" t="str">
        <f>"徐雪芹"</f>
        <v>徐雪芹</v>
      </c>
      <c r="D164" s="10" t="str">
        <f t="shared" si="13"/>
        <v>女</v>
      </c>
      <c r="E164" s="10" t="str">
        <f>"20200701310"</f>
        <v>20200701310</v>
      </c>
      <c r="F164" s="7">
        <v>54.2</v>
      </c>
      <c r="G164" s="7">
        <v>74</v>
      </c>
      <c r="H164" s="7">
        <f t="shared" si="11"/>
        <v>128.19999999999999</v>
      </c>
      <c r="I164" s="4">
        <v>78</v>
      </c>
      <c r="J164" s="22">
        <f t="shared" si="12"/>
        <v>69.66</v>
      </c>
      <c r="K164" s="20"/>
    </row>
    <row r="165" spans="1:11" s="17" customFormat="1" ht="21.75" customHeight="1" x14ac:dyDescent="0.15">
      <c r="A165" s="10">
        <v>163</v>
      </c>
      <c r="B165" s="16" t="s">
        <v>14</v>
      </c>
      <c r="C165" s="15"/>
      <c r="D165" s="15"/>
      <c r="E165" s="15" t="str">
        <f>"20200701317"</f>
        <v>20200701317</v>
      </c>
      <c r="F165" s="5">
        <v>56.6</v>
      </c>
      <c r="G165" s="5">
        <v>71.5</v>
      </c>
      <c r="H165" s="5">
        <f t="shared" si="11"/>
        <v>128.1</v>
      </c>
      <c r="I165" s="14">
        <v>76.599999999999994</v>
      </c>
      <c r="J165" s="23">
        <f t="shared" si="12"/>
        <v>69.069999999999993</v>
      </c>
      <c r="K165" s="19"/>
    </row>
    <row r="166" spans="1:11" s="17" customFormat="1" ht="21.75" customHeight="1" x14ac:dyDescent="0.15">
      <c r="A166" s="10">
        <v>164</v>
      </c>
      <c r="B166" s="16" t="s">
        <v>14</v>
      </c>
      <c r="C166" s="15"/>
      <c r="D166" s="15"/>
      <c r="E166" s="15" t="str">
        <f>"20200701305"</f>
        <v>20200701305</v>
      </c>
      <c r="F166" s="5">
        <v>57.7</v>
      </c>
      <c r="G166" s="5">
        <v>68.5</v>
      </c>
      <c r="H166" s="5">
        <f t="shared" si="11"/>
        <v>126.2</v>
      </c>
      <c r="I166" s="14">
        <v>77.2</v>
      </c>
      <c r="J166" s="23">
        <f t="shared" si="12"/>
        <v>68.740000000000009</v>
      </c>
      <c r="K166" s="19"/>
    </row>
    <row r="167" spans="1:11" s="17" customFormat="1" ht="21.75" customHeight="1" x14ac:dyDescent="0.15">
      <c r="A167" s="10">
        <v>165</v>
      </c>
      <c r="B167" s="16" t="s">
        <v>14</v>
      </c>
      <c r="C167" s="15"/>
      <c r="D167" s="15"/>
      <c r="E167" s="15" t="str">
        <f>"20200701225"</f>
        <v>20200701225</v>
      </c>
      <c r="F167" s="5">
        <v>53.3</v>
      </c>
      <c r="G167" s="5">
        <v>70</v>
      </c>
      <c r="H167" s="5">
        <f t="shared" si="11"/>
        <v>123.3</v>
      </c>
      <c r="I167" s="14">
        <v>79</v>
      </c>
      <c r="J167" s="23">
        <f t="shared" si="12"/>
        <v>68.59</v>
      </c>
      <c r="K167" s="19"/>
    </row>
    <row r="168" spans="1:11" s="17" customFormat="1" ht="21.75" customHeight="1" x14ac:dyDescent="0.15">
      <c r="A168" s="10">
        <v>166</v>
      </c>
      <c r="B168" s="16" t="s">
        <v>14</v>
      </c>
      <c r="C168" s="15"/>
      <c r="D168" s="15"/>
      <c r="E168" s="15" t="str">
        <f>"20200701306"</f>
        <v>20200701306</v>
      </c>
      <c r="F168" s="5">
        <v>59.8</v>
      </c>
      <c r="G168" s="5">
        <v>69.5</v>
      </c>
      <c r="H168" s="5">
        <f t="shared" si="11"/>
        <v>129.30000000000001</v>
      </c>
      <c r="I168" s="14">
        <v>74</v>
      </c>
      <c r="J168" s="23">
        <f t="shared" si="12"/>
        <v>68.39</v>
      </c>
      <c r="K168" s="19"/>
    </row>
    <row r="169" spans="1:11" s="17" customFormat="1" ht="21.75" customHeight="1" x14ac:dyDescent="0.15">
      <c r="A169" s="10">
        <v>167</v>
      </c>
      <c r="B169" s="16" t="s">
        <v>14</v>
      </c>
      <c r="C169" s="15"/>
      <c r="D169" s="15"/>
      <c r="E169" s="15" t="str">
        <f>"20200701308"</f>
        <v>20200701308</v>
      </c>
      <c r="F169" s="5">
        <v>50.5</v>
      </c>
      <c r="G169" s="5">
        <v>73</v>
      </c>
      <c r="H169" s="5">
        <f t="shared" si="11"/>
        <v>123.5</v>
      </c>
      <c r="I169" s="14">
        <v>78</v>
      </c>
      <c r="J169" s="23">
        <f t="shared" si="12"/>
        <v>68.25</v>
      </c>
      <c r="K169" s="19"/>
    </row>
    <row r="170" spans="1:11" s="17" customFormat="1" ht="21.75" customHeight="1" x14ac:dyDescent="0.15">
      <c r="A170" s="10">
        <v>168</v>
      </c>
      <c r="B170" s="16" t="s">
        <v>14</v>
      </c>
      <c r="C170" s="15"/>
      <c r="D170" s="15"/>
      <c r="E170" s="15" t="str">
        <f>"20200701318"</f>
        <v>20200701318</v>
      </c>
      <c r="F170" s="5">
        <v>53.9</v>
      </c>
      <c r="G170" s="5">
        <v>68.5</v>
      </c>
      <c r="H170" s="5">
        <f t="shared" si="11"/>
        <v>122.4</v>
      </c>
      <c r="I170" s="14">
        <v>77.8</v>
      </c>
      <c r="J170" s="23">
        <f t="shared" si="12"/>
        <v>67.84</v>
      </c>
      <c r="K170" s="19"/>
    </row>
    <row r="171" spans="1:11" s="17" customFormat="1" ht="21.75" customHeight="1" x14ac:dyDescent="0.15">
      <c r="A171" s="10">
        <v>169</v>
      </c>
      <c r="B171" s="16" t="s">
        <v>14</v>
      </c>
      <c r="C171" s="15"/>
      <c r="D171" s="15"/>
      <c r="E171" s="15" t="str">
        <f>"20200701226"</f>
        <v>20200701226</v>
      </c>
      <c r="F171" s="5">
        <v>56.2</v>
      </c>
      <c r="G171" s="5">
        <v>68</v>
      </c>
      <c r="H171" s="5">
        <f t="shared" si="11"/>
        <v>124.2</v>
      </c>
      <c r="I171" s="14">
        <v>74.8</v>
      </c>
      <c r="J171" s="23">
        <f t="shared" si="12"/>
        <v>67.180000000000007</v>
      </c>
      <c r="K171" s="19"/>
    </row>
    <row r="172" spans="1:11" s="17" customFormat="1" ht="21.75" customHeight="1" x14ac:dyDescent="0.15">
      <c r="A172" s="10">
        <v>170</v>
      </c>
      <c r="B172" s="16" t="s">
        <v>14</v>
      </c>
      <c r="C172" s="15"/>
      <c r="D172" s="15"/>
      <c r="E172" s="15" t="str">
        <f>"20200701315"</f>
        <v>20200701315</v>
      </c>
      <c r="F172" s="5">
        <v>50.2</v>
      </c>
      <c r="G172" s="5">
        <v>68</v>
      </c>
      <c r="H172" s="5">
        <f t="shared" si="11"/>
        <v>118.2</v>
      </c>
      <c r="I172" s="14">
        <v>78</v>
      </c>
      <c r="J172" s="23">
        <f t="shared" si="12"/>
        <v>66.66</v>
      </c>
      <c r="K172" s="19"/>
    </row>
    <row r="173" spans="1:11" s="17" customFormat="1" ht="21.75" customHeight="1" x14ac:dyDescent="0.15">
      <c r="A173" s="10">
        <v>171</v>
      </c>
      <c r="B173" s="16" t="s">
        <v>14</v>
      </c>
      <c r="C173" s="15"/>
      <c r="D173" s="15"/>
      <c r="E173" s="15" t="str">
        <f>"20200701307"</f>
        <v>20200701307</v>
      </c>
      <c r="F173" s="5">
        <v>52.2</v>
      </c>
      <c r="G173" s="5">
        <v>70</v>
      </c>
      <c r="H173" s="5">
        <f t="shared" si="11"/>
        <v>122.2</v>
      </c>
      <c r="I173" s="14">
        <v>72.2</v>
      </c>
      <c r="J173" s="23">
        <f t="shared" si="12"/>
        <v>65.539999999999992</v>
      </c>
      <c r="K173" s="19"/>
    </row>
    <row r="174" spans="1:11" s="17" customFormat="1" ht="21.75" customHeight="1" x14ac:dyDescent="0.15">
      <c r="A174" s="10">
        <v>172</v>
      </c>
      <c r="B174" s="16" t="s">
        <v>14</v>
      </c>
      <c r="C174" s="15"/>
      <c r="D174" s="15"/>
      <c r="E174" s="15" t="str">
        <f>"20200701316"</f>
        <v>20200701316</v>
      </c>
      <c r="F174" s="5">
        <v>41.6</v>
      </c>
      <c r="G174" s="5">
        <v>71.5</v>
      </c>
      <c r="H174" s="5">
        <f t="shared" si="11"/>
        <v>113.1</v>
      </c>
      <c r="I174" s="14">
        <v>77.2</v>
      </c>
      <c r="J174" s="23">
        <f t="shared" si="12"/>
        <v>64.81</v>
      </c>
      <c r="K174" s="19"/>
    </row>
    <row r="175" spans="1:11" s="17" customFormat="1" ht="21.75" customHeight="1" x14ac:dyDescent="0.15">
      <c r="A175" s="10">
        <v>173</v>
      </c>
      <c r="B175" s="16" t="s">
        <v>14</v>
      </c>
      <c r="C175" s="15"/>
      <c r="D175" s="15"/>
      <c r="E175" s="15" t="str">
        <f>"20200701319"</f>
        <v>20200701319</v>
      </c>
      <c r="F175" s="5">
        <v>43.1</v>
      </c>
      <c r="G175" s="5">
        <v>67.5</v>
      </c>
      <c r="H175" s="5">
        <f t="shared" si="11"/>
        <v>110.6</v>
      </c>
      <c r="I175" s="14">
        <v>77.599999999999994</v>
      </c>
      <c r="J175" s="23">
        <f t="shared" si="12"/>
        <v>64.22</v>
      </c>
      <c r="K175" s="19"/>
    </row>
    <row r="176" spans="1:11" s="17" customFormat="1" ht="21.75" customHeight="1" x14ac:dyDescent="0.15">
      <c r="A176" s="10">
        <v>174</v>
      </c>
      <c r="B176" s="16" t="s">
        <v>14</v>
      </c>
      <c r="C176" s="15"/>
      <c r="D176" s="15"/>
      <c r="E176" s="15" t="str">
        <f>"20200701301"</f>
        <v>20200701301</v>
      </c>
      <c r="F176" s="5">
        <v>62.5</v>
      </c>
      <c r="G176" s="5">
        <v>69.5</v>
      </c>
      <c r="H176" s="5">
        <f t="shared" si="11"/>
        <v>132</v>
      </c>
      <c r="I176" s="14">
        <v>56.8</v>
      </c>
      <c r="J176" s="23">
        <f t="shared" si="12"/>
        <v>62.32</v>
      </c>
      <c r="K176" s="19"/>
    </row>
    <row r="177" spans="1:11" s="17" customFormat="1" ht="21.75" customHeight="1" x14ac:dyDescent="0.15">
      <c r="A177" s="10">
        <v>175</v>
      </c>
      <c r="B177" s="16" t="s">
        <v>14</v>
      </c>
      <c r="C177" s="15"/>
      <c r="D177" s="15"/>
      <c r="E177" s="15" t="str">
        <f>"20200701227"</f>
        <v>20200701227</v>
      </c>
      <c r="F177" s="5">
        <v>51.3</v>
      </c>
      <c r="G177" s="5">
        <v>73</v>
      </c>
      <c r="H177" s="5">
        <f t="shared" si="11"/>
        <v>124.3</v>
      </c>
      <c r="I177" s="14">
        <v>49.8</v>
      </c>
      <c r="J177" s="23">
        <f t="shared" si="12"/>
        <v>57.21</v>
      </c>
      <c r="K177" s="19"/>
    </row>
  </sheetData>
  <mergeCells count="1">
    <mergeCell ref="A1:K1"/>
  </mergeCells>
  <phoneticPr fontId="1" type="noConversion"/>
  <printOptions horizontalCentered="1"/>
  <pageMargins left="0.55118110236220474" right="0.55118110236220474" top="0.78740157480314965" bottom="0.78740157480314965"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考试总成绩及入围体检人员</vt:lpstr>
      <vt:lpstr>考试总成绩及入围体检人员!Print_Titles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2020-07-20T08:23:16Z</cp:lastPrinted>
  <dcterms:created xsi:type="dcterms:W3CDTF">2020-07-20T02:08:54Z</dcterms:created>
  <dcterms:modified xsi:type="dcterms:W3CDTF">2020-08-31T09:48:52Z</dcterms:modified>
</cp:coreProperties>
</file>